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Geometry" sheetId="1" r:id="rId1"/>
    <sheet name="HRT" sheetId="2" r:id="rId2"/>
    <sheet name="Velocity" sheetId="3" r:id="rId3"/>
    <sheet name="Power Costs" sheetId="4" r:id="rId4"/>
    <sheet name="Dilutions" sheetId="5" r:id="rId5"/>
    <sheet name="FM Problems" sheetId="6" r:id="rId6"/>
    <sheet name="MCRT Calcs" sheetId="7" r:id="rId7"/>
  </sheets>
  <definedNames>
    <definedName name="_xlnm.Print_Area" localSheetId="4">'Dilutions'!$A$6:$N$123</definedName>
    <definedName name="_xlnm.Print_Area" localSheetId="5">'FM Problems'!$A$6:$M$87</definedName>
    <definedName name="_xlnm.Print_Area" localSheetId="6">'MCRT Calcs'!$A$6:$Q$83</definedName>
    <definedName name="_xlnm.Print_Area" localSheetId="3">'Power Costs'!$A$6:$N$65</definedName>
  </definedNames>
  <calcPr fullCalcOnLoad="1"/>
</workbook>
</file>

<file path=xl/sharedStrings.xml><?xml version="1.0" encoding="utf-8"?>
<sst xmlns="http://schemas.openxmlformats.org/spreadsheetml/2006/main" count="616" uniqueCount="220">
  <si>
    <t>Influent Characteristics</t>
  </si>
  <si>
    <t>Flow Rate</t>
  </si>
  <si>
    <t>gpm</t>
  </si>
  <si>
    <t>BOD</t>
  </si>
  <si>
    <t>TSS</t>
  </si>
  <si>
    <t>mg/L</t>
  </si>
  <si>
    <t>Aeration Basin Characteristics</t>
  </si>
  <si>
    <t>Length</t>
  </si>
  <si>
    <t>Width</t>
  </si>
  <si>
    <t>Depth</t>
  </si>
  <si>
    <t>ft</t>
  </si>
  <si>
    <t>MLSS</t>
  </si>
  <si>
    <t>MLVSS</t>
  </si>
  <si>
    <t xml:space="preserve"> </t>
  </si>
  <si>
    <t>F:M</t>
  </si>
  <si>
    <t>mgd</t>
  </si>
  <si>
    <t>Calculate Food to Microorganism Ratio</t>
  </si>
  <si>
    <t>%VSS</t>
  </si>
  <si>
    <t>%</t>
  </si>
  <si>
    <t>Volume</t>
  </si>
  <si>
    <t>ft3</t>
  </si>
  <si>
    <t>gallons</t>
  </si>
  <si>
    <t>mg</t>
  </si>
  <si>
    <t># Basins</t>
  </si>
  <si>
    <t>each</t>
  </si>
  <si>
    <t>when MLSS is used</t>
  </si>
  <si>
    <t>when MLVSS is used</t>
  </si>
  <si>
    <t>pounds per day</t>
  </si>
  <si>
    <t xml:space="preserve">pounds  </t>
  </si>
  <si>
    <t>pounds</t>
  </si>
  <si>
    <r>
      <t xml:space="preserve">Numbers in </t>
    </r>
    <r>
      <rPr>
        <b/>
        <sz val="10"/>
        <color indexed="53"/>
        <rFont val="Arial"/>
        <family val="2"/>
      </rPr>
      <t>RED</t>
    </r>
    <r>
      <rPr>
        <sz val="10"/>
        <rFont val="Arial"/>
        <family val="0"/>
      </rPr>
      <t xml:space="preserve"> can be changed.  Numbers in </t>
    </r>
    <r>
      <rPr>
        <b/>
        <sz val="10"/>
        <color indexed="12"/>
        <rFont val="Arial"/>
        <family val="2"/>
      </rPr>
      <t>BLUE</t>
    </r>
    <r>
      <rPr>
        <sz val="10"/>
        <rFont val="Arial"/>
        <family val="0"/>
      </rPr>
      <t xml:space="preserve"> are calculated by the spreadsheet.</t>
    </r>
  </si>
  <si>
    <t xml:space="preserve">MLSS = </t>
  </si>
  <si>
    <t>MLVSS =</t>
  </si>
  <si>
    <t>Conversion Factors</t>
  </si>
  <si>
    <t>1 cuft</t>
  </si>
  <si>
    <t>=</t>
  </si>
  <si>
    <t>7.48 gallons</t>
  </si>
  <si>
    <t>1 gallon</t>
  </si>
  <si>
    <t>8.34 lbs</t>
  </si>
  <si>
    <t>NOTE:  If MLVSS is not available, use MLSS instead.</t>
  </si>
  <si>
    <t>Problem One:</t>
  </si>
  <si>
    <t>Answer:</t>
  </si>
  <si>
    <t>Problem Two:</t>
  </si>
  <si>
    <t>l =</t>
  </si>
  <si>
    <t>h =</t>
  </si>
  <si>
    <t>w =</t>
  </si>
  <si>
    <t>Problem Three:</t>
  </si>
  <si>
    <t>The same WWTP needs to take one aeration basin off-line for cleaning and maintenance.  What is the new F:M ratio if the influent characteristics remain the same?</t>
  </si>
  <si>
    <t>Problem Four:</t>
  </si>
  <si>
    <t>Problem Five:</t>
  </si>
  <si>
    <t>Using the WWTP in Problem 4, how many pounds of MLVSS must be added or removed from the aeration basin though wasting to achieve an F:M of 0.3?</t>
  </si>
  <si>
    <r>
      <t xml:space="preserve">pounds, </t>
    </r>
    <r>
      <rPr>
        <sz val="10"/>
        <color indexed="22"/>
        <rFont val="Arial"/>
        <family val="2"/>
      </rPr>
      <t xml:space="preserve">which is a </t>
    </r>
    <r>
      <rPr>
        <b/>
        <sz val="10"/>
        <color indexed="22"/>
        <rFont val="Arial"/>
        <family val="2"/>
      </rPr>
      <t>decrease</t>
    </r>
    <r>
      <rPr>
        <sz val="10"/>
        <color indexed="22"/>
        <rFont val="Arial"/>
        <family val="2"/>
      </rPr>
      <t xml:space="preserve"> of</t>
    </r>
  </si>
  <si>
    <t>Problem Six:</t>
  </si>
  <si>
    <t>Hint:  If the primary clarifier is removing 35% of the influent BOD, then only 65% of the BOD is actually making it to the aeration tanks.  Take the total pounds of BOD and multiply it by 0.65 before calculating the F:M ratio.</t>
  </si>
  <si>
    <t>Password = Integra</t>
  </si>
  <si>
    <t>motor efficiency</t>
  </si>
  <si>
    <t>pump efficiency</t>
  </si>
  <si>
    <t>Water Horsepower = {(GPM x Pump head)/ 3,956}</t>
  </si>
  <si>
    <t>Brake Horsepower = Water Horsepower / % Pump Efficiency</t>
  </si>
  <si>
    <t>hp</t>
  </si>
  <si>
    <t>Run Time</t>
  </si>
  <si>
    <t>hours per day</t>
  </si>
  <si>
    <t>days per week</t>
  </si>
  <si>
    <t>Electricty Cost</t>
  </si>
  <si>
    <t>$/kwh</t>
  </si>
  <si>
    <t>$</t>
  </si>
  <si>
    <t>kwh</t>
  </si>
  <si>
    <t>hour</t>
  </si>
  <si>
    <t>hours</t>
  </si>
  <si>
    <t>day</t>
  </si>
  <si>
    <t>days</t>
  </si>
  <si>
    <t>week</t>
  </si>
  <si>
    <t>** Set it up this way because you need 25 horsepower per hour to run this pump.</t>
  </si>
  <si>
    <t>khw</t>
  </si>
  <si>
    <t>weeks</t>
  </si>
  <si>
    <t>year</t>
  </si>
  <si>
    <t>Secondary Clarifier Characteristics</t>
  </si>
  <si>
    <t>WAS Characteristics</t>
  </si>
  <si>
    <t>Effluent Characteristics</t>
  </si>
  <si>
    <t>Diameter</t>
  </si>
  <si>
    <t># Clarifiers</t>
  </si>
  <si>
    <t>*Clarifier core concentration of TSS</t>
  </si>
  <si>
    <t>HRT</t>
  </si>
  <si>
    <t>Influent</t>
  </si>
  <si>
    <t>CCC*</t>
  </si>
  <si>
    <t>cfs</t>
  </si>
  <si>
    <t>Flow</t>
  </si>
  <si>
    <t>Aeration Basin</t>
  </si>
  <si>
    <t>Clarifier</t>
  </si>
  <si>
    <t>WAS</t>
  </si>
  <si>
    <t>Effluent</t>
  </si>
  <si>
    <t>SRT</t>
  </si>
  <si>
    <t>MCRT</t>
  </si>
  <si>
    <t>*NOTE:  SRT does not take the solids in the clarifier into account.</t>
  </si>
  <si>
    <t>lbs</t>
  </si>
  <si>
    <t>Convert cuft to million gallons.  Then calculate pounds.</t>
  </si>
  <si>
    <t>Note:  even though clarifier data is given, the problem is asking for SRT, not MCRT.</t>
  </si>
  <si>
    <t>lbs per day to waste</t>
  </si>
  <si>
    <t xml:space="preserve">MCRT = </t>
  </si>
  <si>
    <t>(Lbs Aeration + Lbs Clarifier)</t>
  </si>
  <si>
    <t>(Lbs WAS + Lbs Effluent)</t>
  </si>
  <si>
    <t>+</t>
  </si>
  <si>
    <t>Lbs Was</t>
  </si>
  <si>
    <t>15  =</t>
  </si>
  <si>
    <t>Note:  The pump runs for 15 minutes or 1/4 of the total time per hour.</t>
  </si>
  <si>
    <t>For the WWTP described in problem two, what percentage of the solids inventory is in the secondary clarifiers?</t>
  </si>
  <si>
    <t>RAS</t>
  </si>
  <si>
    <t>Dilutions - Part 1 Making Standards</t>
  </si>
  <si>
    <t>Fill Volume</t>
  </si>
  <si>
    <t>mL</t>
  </si>
  <si>
    <t>C stands for Concentration and may be a %, ppm, mg/L, etc.</t>
  </si>
  <si>
    <t>V stands for Volume, but may also be a pump rate.</t>
  </si>
  <si>
    <t>Evaporated volume of standard =</t>
  </si>
  <si>
    <t>Dilutions - Part 2 Chemical Dosing</t>
  </si>
  <si>
    <t>Raw Chemical</t>
  </si>
  <si>
    <t>Wastewater</t>
  </si>
  <si>
    <t>Chemical Tank Characteristics</t>
  </si>
  <si>
    <t>Pump Characteristics</t>
  </si>
  <si>
    <t>Wastewater Characteristics</t>
  </si>
  <si>
    <t>Chemical:</t>
  </si>
  <si>
    <t>Concentration:</t>
  </si>
  <si>
    <t>Tank Diameter:</t>
  </si>
  <si>
    <t>Tank Depth:</t>
  </si>
  <si>
    <t>Volume:</t>
  </si>
  <si>
    <t>feet</t>
  </si>
  <si>
    <t>cuft</t>
  </si>
  <si>
    <t>Rate:</t>
  </si>
  <si>
    <t>gpd</t>
  </si>
  <si>
    <t>Flow Rate:</t>
  </si>
  <si>
    <t>Dose:</t>
  </si>
  <si>
    <t>pounds per week</t>
  </si>
  <si>
    <t>For the chemical dosing situation described in Problem One, how many pounds of DRY chemical are added to the wastewater per week?  Assume the pump runs 24 hours per day, seven days a week.</t>
  </si>
  <si>
    <t>Calculate the millions of gallons of chemical solution added per week.  Then, calculate pounds.</t>
  </si>
  <si>
    <t>Don't forget to add the demand to your residual before calculating dose!</t>
  </si>
  <si>
    <t>Same problem, just backwards to find the tank concentration.</t>
  </si>
  <si>
    <t>Dilutions - Part 3 Dewatering</t>
  </si>
  <si>
    <t>Feed Characteristics</t>
  </si>
  <si>
    <t>Solids</t>
  </si>
  <si>
    <t>Cake Characteristics</t>
  </si>
  <si>
    <t>cubic feet per day</t>
  </si>
  <si>
    <t>tons per day</t>
  </si>
  <si>
    <t>dry tons per day</t>
  </si>
  <si>
    <t>dry pounds per day</t>
  </si>
  <si>
    <t>Hydraulic Retention Time</t>
  </si>
  <si>
    <t>Influent Flow</t>
  </si>
  <si>
    <t>liters/min</t>
  </si>
  <si>
    <t>Tank Volume</t>
  </si>
  <si>
    <t xml:space="preserve">cf </t>
  </si>
  <si>
    <t>Tank Dimensions</t>
  </si>
  <si>
    <t>Fill Depth</t>
  </si>
  <si>
    <t>Pipe Dimensions</t>
  </si>
  <si>
    <t>inches</t>
  </si>
  <si>
    <t>Pipe Volume</t>
  </si>
  <si>
    <t>cf</t>
  </si>
  <si>
    <t>Number of Influent pipes or pumps</t>
  </si>
  <si>
    <t>Number of Tanks</t>
  </si>
  <si>
    <t>Number of Pipes</t>
  </si>
  <si>
    <t>Pipe</t>
  </si>
  <si>
    <t>Tank</t>
  </si>
  <si>
    <t>minutes</t>
  </si>
  <si>
    <t xml:space="preserve">mg </t>
  </si>
  <si>
    <t>Polymer</t>
  </si>
  <si>
    <t>cubic feet</t>
  </si>
  <si>
    <t>Pipe Velocity</t>
  </si>
  <si>
    <t>fps</t>
  </si>
  <si>
    <t>Area</t>
  </si>
  <si>
    <t>sft</t>
  </si>
  <si>
    <t>Problem Seven:</t>
  </si>
  <si>
    <t>** The number of units in service only works for problems where the quantity is specified.</t>
  </si>
  <si>
    <t>Problem Eight:</t>
  </si>
  <si>
    <t>pumps</t>
  </si>
  <si>
    <t>Velocity</t>
  </si>
  <si>
    <r>
      <t xml:space="preserve">Velocity is shown as little italic </t>
    </r>
    <r>
      <rPr>
        <b/>
        <i/>
        <sz val="12"/>
        <rFont val="Arial"/>
        <family val="2"/>
      </rPr>
      <t>v</t>
    </r>
    <r>
      <rPr>
        <sz val="12"/>
        <rFont val="Arial"/>
        <family val="0"/>
      </rPr>
      <t xml:space="preserve">.  Volume is shown as capital </t>
    </r>
    <r>
      <rPr>
        <b/>
        <sz val="12"/>
        <rFont val="Arial"/>
        <family val="2"/>
      </rPr>
      <t>V</t>
    </r>
    <r>
      <rPr>
        <sz val="12"/>
        <rFont val="Arial"/>
        <family val="0"/>
      </rPr>
      <t>.</t>
    </r>
  </si>
  <si>
    <t>The Area that concerns us is the cross-sectional area that</t>
  </si>
  <si>
    <t>the water is flowing through.  In this case, it will be the width</t>
  </si>
  <si>
    <t>multiplied by the height or depth of flow.  We don't need to</t>
  </si>
  <si>
    <t>worry about the length of the channel at all.</t>
  </si>
  <si>
    <t>For a pipe, the area will be round.</t>
  </si>
  <si>
    <t>Rectangular Channel</t>
  </si>
  <si>
    <t>Round Pipe</t>
  </si>
  <si>
    <t>cfm</t>
  </si>
  <si>
    <t>If I turn the "pipe" or "channel" up on it's end and make it a lot wider….. My pipe or channel turns into my sedimentation basin.</t>
  </si>
  <si>
    <t>Calculate Surface Overflow Rate (SOR) just like you would calculate velocity.  They are really the same thing.</t>
  </si>
  <si>
    <t>square feet</t>
  </si>
  <si>
    <t>Electrical or Motor Horsepower = Brake Horsepower / % Motor Efficiency</t>
  </si>
  <si>
    <t>Problem Nine:</t>
  </si>
  <si>
    <t>Problem Ten:</t>
  </si>
  <si>
    <t>seconds</t>
  </si>
  <si>
    <r>
      <t xml:space="preserve">Numbers in </t>
    </r>
    <r>
      <rPr>
        <b/>
        <sz val="10"/>
        <color indexed="10"/>
        <rFont val="Arial"/>
        <family val="2"/>
      </rPr>
      <t>RED</t>
    </r>
    <r>
      <rPr>
        <sz val="10"/>
        <rFont val="Arial"/>
        <family val="0"/>
      </rPr>
      <t xml:space="preserve"> can be changed.  Numbers in </t>
    </r>
    <r>
      <rPr>
        <b/>
        <sz val="10"/>
        <color indexed="12"/>
        <rFont val="Arial"/>
        <family val="2"/>
      </rPr>
      <t>BLUE</t>
    </r>
    <r>
      <rPr>
        <sz val="10"/>
        <rFont val="Arial"/>
        <family val="0"/>
      </rPr>
      <t xml:space="preserve"> are calculated by the spreadsheet.</t>
    </r>
  </si>
  <si>
    <t>Geometry</t>
  </si>
  <si>
    <t>Rectangular Tank</t>
  </si>
  <si>
    <t>length</t>
  </si>
  <si>
    <t>width</t>
  </si>
  <si>
    <t>depth</t>
  </si>
  <si>
    <t>volume</t>
  </si>
  <si>
    <t>cft</t>
  </si>
  <si>
    <t>gal</t>
  </si>
  <si>
    <t xml:space="preserve">Problem One: </t>
  </si>
  <si>
    <t># tanks</t>
  </si>
  <si>
    <t>area</t>
  </si>
  <si>
    <t>Circular Tank</t>
  </si>
  <si>
    <t>Radius</t>
  </si>
  <si>
    <t>or Pipe</t>
  </si>
  <si>
    <t>Depth or Length</t>
  </si>
  <si>
    <t># Pipes</t>
  </si>
  <si>
    <t>Circular Tank with a Conical Bottom</t>
  </si>
  <si>
    <t>Depth of Tank</t>
  </si>
  <si>
    <t>Depth of Cone</t>
  </si>
  <si>
    <t>Volume of Tank</t>
  </si>
  <si>
    <t>Volume of Cone</t>
  </si>
  <si>
    <t>Total Volume</t>
  </si>
  <si>
    <t>perimeter</t>
  </si>
  <si>
    <t>Perimeter</t>
  </si>
  <si>
    <t>Answer</t>
  </si>
  <si>
    <t>password = indigo</t>
  </si>
  <si>
    <t>626 West Davies Way, Littleton, Colorado 80120</t>
  </si>
  <si>
    <t>kw</t>
  </si>
  <si>
    <t>hrs</t>
  </si>
  <si>
    <t>cf/d</t>
  </si>
  <si>
    <t>www.indigowatergroup.com  303-489-9226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</si>
</sst>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quot;$&quot;#,##0.00"/>
  </numFmts>
  <fonts count="53">
    <font>
      <sz val="10"/>
      <name val="Arial"/>
      <family val="0"/>
    </font>
    <font>
      <b/>
      <sz val="10"/>
      <name val="Arial"/>
      <family val="2"/>
    </font>
    <font>
      <b/>
      <sz val="10"/>
      <color indexed="10"/>
      <name val="Arial"/>
      <family val="2"/>
    </font>
    <font>
      <b/>
      <sz val="10"/>
      <color indexed="48"/>
      <name val="Arial"/>
      <family val="2"/>
    </font>
    <font>
      <sz val="8"/>
      <name val="Arial"/>
      <family val="0"/>
    </font>
    <font>
      <b/>
      <sz val="10"/>
      <color indexed="53"/>
      <name val="Arial"/>
      <family val="2"/>
    </font>
    <font>
      <b/>
      <sz val="10"/>
      <color indexed="12"/>
      <name val="Arial"/>
      <family val="2"/>
    </font>
    <font>
      <sz val="10"/>
      <color indexed="22"/>
      <name val="Arial"/>
      <family val="0"/>
    </font>
    <font>
      <sz val="10"/>
      <color indexed="9"/>
      <name val="Arial"/>
      <family val="0"/>
    </font>
    <font>
      <b/>
      <sz val="10"/>
      <color indexed="22"/>
      <name val="Arial"/>
      <family val="2"/>
    </font>
    <font>
      <sz val="10"/>
      <color indexed="8"/>
      <name val="Trebuchet MS"/>
      <family val="2"/>
    </font>
    <font>
      <u val="single"/>
      <sz val="10"/>
      <color indexed="12"/>
      <name val="Arial"/>
      <family val="0"/>
    </font>
    <font>
      <u val="single"/>
      <sz val="10"/>
      <color indexed="36"/>
      <name val="Arial"/>
      <family val="0"/>
    </font>
    <font>
      <sz val="12"/>
      <name val="Arial"/>
      <family val="0"/>
    </font>
    <font>
      <b/>
      <i/>
      <sz val="12"/>
      <name val="Arial"/>
      <family val="2"/>
    </font>
    <font>
      <b/>
      <sz val="12"/>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6" fillId="33" borderId="0" xfId="0" applyFont="1" applyFill="1" applyAlignment="1">
      <alignment horizontal="center"/>
    </xf>
    <xf numFmtId="0" fontId="1" fillId="33" borderId="0" xfId="0" applyFont="1" applyFill="1" applyAlignment="1">
      <alignment/>
    </xf>
    <xf numFmtId="0" fontId="2" fillId="33" borderId="0" xfId="0" applyFont="1" applyFill="1" applyAlignment="1" applyProtection="1">
      <alignment horizontal="center"/>
      <protection locked="0"/>
    </xf>
    <xf numFmtId="1" fontId="3" fillId="33" borderId="0" xfId="0" applyNumberFormat="1" applyFont="1" applyFill="1" applyAlignment="1">
      <alignment horizontal="center"/>
    </xf>
    <xf numFmtId="0" fontId="0" fillId="33" borderId="0" xfId="0" applyFill="1" applyAlignment="1" quotePrefix="1">
      <alignment horizontal="center"/>
    </xf>
    <xf numFmtId="0" fontId="3" fillId="33" borderId="0" xfId="0" applyFont="1" applyFill="1" applyAlignment="1">
      <alignment horizontal="center"/>
    </xf>
    <xf numFmtId="2" fontId="3" fillId="33" borderId="0" xfId="0" applyNumberFormat="1" applyFont="1" applyFill="1" applyAlignment="1">
      <alignment horizontal="center"/>
    </xf>
    <xf numFmtId="0" fontId="0" fillId="33" borderId="0" xfId="0" applyFill="1" applyAlignment="1">
      <alignment wrapText="1"/>
    </xf>
    <xf numFmtId="1" fontId="0" fillId="33" borderId="0" xfId="0" applyNumberFormat="1" applyFill="1" applyAlignment="1">
      <alignment horizontal="left"/>
    </xf>
    <xf numFmtId="0" fontId="0" fillId="33" borderId="0" xfId="0" applyFill="1" applyAlignment="1">
      <alignment horizontal="center"/>
    </xf>
    <xf numFmtId="1" fontId="7" fillId="33" borderId="0" xfId="0" applyNumberFormat="1" applyFont="1" applyFill="1" applyAlignment="1">
      <alignment horizontal="center" wrapText="1"/>
    </xf>
    <xf numFmtId="2" fontId="7" fillId="33" borderId="0" xfId="0" applyNumberFormat="1" applyFont="1" applyFill="1" applyAlignment="1">
      <alignment horizontal="center"/>
    </xf>
    <xf numFmtId="1" fontId="7" fillId="33" borderId="0" xfId="0" applyNumberFormat="1" applyFont="1" applyFill="1" applyAlignment="1">
      <alignment horizontal="center"/>
    </xf>
    <xf numFmtId="0" fontId="7" fillId="33" borderId="0" xfId="0" applyFont="1" applyFill="1" applyAlignment="1">
      <alignment/>
    </xf>
    <xf numFmtId="0" fontId="8" fillId="33" borderId="0" xfId="0" applyFont="1" applyFill="1" applyAlignment="1">
      <alignment/>
    </xf>
    <xf numFmtId="0" fontId="2" fillId="33" borderId="0" xfId="0" applyNumberFormat="1" applyFont="1" applyFill="1" applyAlignment="1" applyProtection="1">
      <alignment horizontal="center"/>
      <protection locked="0"/>
    </xf>
    <xf numFmtId="9" fontId="2" fillId="33" borderId="0" xfId="0" applyNumberFormat="1" applyFont="1" applyFill="1" applyAlignment="1" applyProtection="1">
      <alignment horizontal="center"/>
      <protection locked="0"/>
    </xf>
    <xf numFmtId="0" fontId="10" fillId="33" borderId="0" xfId="0" applyFont="1" applyFill="1" applyAlignment="1">
      <alignment horizontal="left"/>
    </xf>
    <xf numFmtId="169" fontId="6" fillId="33" borderId="0" xfId="0" applyNumberFormat="1" applyFont="1" applyFill="1" applyAlignment="1">
      <alignment horizontal="center"/>
    </xf>
    <xf numFmtId="0" fontId="0" fillId="33" borderId="0" xfId="0" applyFill="1" applyAlignment="1">
      <alignment horizontal="left"/>
    </xf>
    <xf numFmtId="169" fontId="7" fillId="33" borderId="0" xfId="0" applyNumberFormat="1" applyFont="1"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horizontal="right"/>
    </xf>
    <xf numFmtId="0" fontId="0" fillId="33" borderId="13" xfId="0" applyFill="1" applyBorder="1" applyAlignment="1">
      <alignment/>
    </xf>
    <xf numFmtId="0" fontId="6" fillId="33" borderId="14" xfId="0" applyFont="1" applyFill="1" applyBorder="1" applyAlignment="1">
      <alignment horizontal="right"/>
    </xf>
    <xf numFmtId="0" fontId="6" fillId="33" borderId="10" xfId="0" applyFont="1" applyFill="1" applyBorder="1" applyAlignment="1">
      <alignment/>
    </xf>
    <xf numFmtId="0" fontId="6" fillId="33" borderId="14" xfId="0" applyFont="1" applyFill="1" applyBorder="1" applyAlignment="1">
      <alignment/>
    </xf>
    <xf numFmtId="170" fontId="7" fillId="33" borderId="0" xfId="0" applyNumberFormat="1" applyFont="1" applyFill="1" applyAlignment="1">
      <alignment/>
    </xf>
    <xf numFmtId="170" fontId="7" fillId="33" borderId="0" xfId="0" applyNumberFormat="1" applyFont="1" applyFill="1" applyAlignment="1">
      <alignment horizontal="center"/>
    </xf>
    <xf numFmtId="1" fontId="6" fillId="33" borderId="10" xfId="0" applyNumberFormat="1" applyFont="1" applyFill="1" applyBorder="1" applyAlignment="1" applyProtection="1">
      <alignment/>
      <protection/>
    </xf>
    <xf numFmtId="0" fontId="2" fillId="33" borderId="10" xfId="0" applyFont="1" applyFill="1" applyBorder="1" applyAlignment="1" applyProtection="1">
      <alignment/>
      <protection locked="0"/>
    </xf>
    <xf numFmtId="0" fontId="0" fillId="33" borderId="0" xfId="0" applyFill="1" applyBorder="1" applyAlignment="1">
      <alignment/>
    </xf>
    <xf numFmtId="170" fontId="6" fillId="33" borderId="10" xfId="0" applyNumberFormat="1" applyFont="1" applyFill="1" applyBorder="1" applyAlignment="1">
      <alignment horizontal="center"/>
    </xf>
    <xf numFmtId="169" fontId="6" fillId="33" borderId="10" xfId="0" applyNumberFormat="1" applyFont="1" applyFill="1" applyBorder="1" applyAlignment="1" applyProtection="1">
      <alignment/>
      <protection locked="0"/>
    </xf>
    <xf numFmtId="0" fontId="0" fillId="33" borderId="0" xfId="0" applyFill="1" applyAlignment="1" applyProtection="1">
      <alignment/>
      <protection/>
    </xf>
    <xf numFmtId="0" fontId="8" fillId="33" borderId="0" xfId="0" applyFont="1" applyFill="1" applyAlignment="1" applyProtection="1">
      <alignment/>
      <protection/>
    </xf>
    <xf numFmtId="0" fontId="0" fillId="33" borderId="0" xfId="0" applyFill="1" applyAlignment="1" applyProtection="1">
      <alignment horizontal="right"/>
      <protection/>
    </xf>
    <xf numFmtId="0" fontId="6" fillId="33" borderId="0" xfId="0" applyFont="1" applyFill="1" applyAlignment="1" applyProtection="1">
      <alignment horizontal="center"/>
      <protection/>
    </xf>
    <xf numFmtId="0" fontId="1" fillId="33" borderId="0" xfId="0" applyFont="1" applyFill="1" applyAlignment="1" applyProtection="1">
      <alignment/>
      <protection/>
    </xf>
    <xf numFmtId="0" fontId="0" fillId="33" borderId="0" xfId="0" applyFill="1" applyAlignment="1" applyProtection="1" quotePrefix="1">
      <alignment horizontal="center"/>
      <protection/>
    </xf>
    <xf numFmtId="1" fontId="3" fillId="33" borderId="0" xfId="0" applyNumberFormat="1" applyFont="1" applyFill="1" applyAlignment="1" applyProtection="1">
      <alignment horizontal="center"/>
      <protection/>
    </xf>
    <xf numFmtId="2" fontId="3" fillId="33" borderId="0" xfId="0" applyNumberFormat="1" applyFont="1" applyFill="1" applyAlignment="1" applyProtection="1">
      <alignment horizontal="center"/>
      <protection/>
    </xf>
    <xf numFmtId="0" fontId="0" fillId="33" borderId="0" xfId="0" applyFill="1" applyBorder="1" applyAlignment="1" applyProtection="1">
      <alignment vertical="center" wrapText="1"/>
      <protection/>
    </xf>
    <xf numFmtId="0" fontId="0" fillId="33" borderId="0" xfId="0" applyFill="1" applyAlignment="1" applyProtection="1">
      <alignment wrapText="1"/>
      <protection/>
    </xf>
    <xf numFmtId="1" fontId="7" fillId="33" borderId="0" xfId="0" applyNumberFormat="1" applyFont="1" applyFill="1" applyAlignment="1" applyProtection="1">
      <alignment horizontal="center" wrapText="1"/>
      <protection/>
    </xf>
    <xf numFmtId="1" fontId="0" fillId="33" borderId="0" xfId="0" applyNumberFormat="1" applyFill="1" applyAlignment="1" applyProtection="1">
      <alignment horizontal="left"/>
      <protection/>
    </xf>
    <xf numFmtId="2" fontId="7" fillId="33" borderId="0" xfId="0" applyNumberFormat="1" applyFont="1" applyFill="1" applyAlignment="1" applyProtection="1">
      <alignment horizontal="center"/>
      <protection/>
    </xf>
    <xf numFmtId="0" fontId="0" fillId="33" borderId="0" xfId="0" applyFill="1" applyAlignment="1" applyProtection="1">
      <alignment horizontal="center"/>
      <protection/>
    </xf>
    <xf numFmtId="1" fontId="7" fillId="33" borderId="0" xfId="0" applyNumberFormat="1" applyFont="1" applyFill="1" applyAlignment="1" applyProtection="1">
      <alignment horizontal="center"/>
      <protection/>
    </xf>
    <xf numFmtId="0" fontId="7" fillId="33" borderId="0" xfId="0" applyFont="1" applyFill="1" applyAlignment="1" applyProtection="1">
      <alignment/>
      <protection/>
    </xf>
    <xf numFmtId="169" fontId="3" fillId="33" borderId="0" xfId="0" applyNumberFormat="1" applyFont="1" applyFill="1" applyAlignment="1" applyProtection="1">
      <alignment horizontal="center"/>
      <protection/>
    </xf>
    <xf numFmtId="1" fontId="3" fillId="33" borderId="0" xfId="0" applyNumberFormat="1" applyFont="1" applyFill="1" applyAlignment="1" applyProtection="1">
      <alignment horizontal="center"/>
      <protection/>
    </xf>
    <xf numFmtId="0" fontId="7" fillId="33" borderId="0" xfId="0" applyFont="1" applyFill="1" applyAlignment="1" applyProtection="1">
      <alignment/>
      <protection/>
    </xf>
    <xf numFmtId="169" fontId="7" fillId="33" borderId="0" xfId="0" applyNumberFormat="1" applyFont="1" applyFill="1" applyAlignment="1" applyProtection="1">
      <alignment horizontal="center"/>
      <protection/>
    </xf>
    <xf numFmtId="0" fontId="1" fillId="33" borderId="15" xfId="0" applyFont="1"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2" xfId="0" applyFill="1" applyBorder="1" applyAlignment="1" applyProtection="1">
      <alignment/>
      <protection/>
    </xf>
    <xf numFmtId="0" fontId="2" fillId="33" borderId="0" xfId="0" applyFont="1" applyFill="1" applyBorder="1" applyAlignment="1" applyProtection="1">
      <alignment horizontal="center"/>
      <protection locked="0"/>
    </xf>
    <xf numFmtId="0" fontId="0" fillId="33" borderId="13" xfId="0" applyFill="1" applyBorder="1" applyAlignment="1" applyProtection="1">
      <alignment/>
      <protection/>
    </xf>
    <xf numFmtId="0" fontId="0" fillId="33" borderId="0" xfId="0" applyFill="1" applyBorder="1" applyAlignment="1" applyProtection="1">
      <alignment/>
      <protection/>
    </xf>
    <xf numFmtId="0" fontId="3" fillId="33" borderId="0" xfId="0" applyFont="1" applyFill="1" applyBorder="1" applyAlignment="1" applyProtection="1">
      <alignment horizontal="center"/>
      <protection/>
    </xf>
    <xf numFmtId="2" fontId="3" fillId="33" borderId="0" xfId="0" applyNumberFormat="1" applyFont="1" applyFill="1" applyBorder="1" applyAlignment="1" applyProtection="1">
      <alignment horizontal="center"/>
      <protection/>
    </xf>
    <xf numFmtId="0" fontId="0" fillId="33" borderId="14" xfId="0" applyFill="1" applyBorder="1" applyAlignment="1" applyProtection="1">
      <alignment/>
      <protection/>
    </xf>
    <xf numFmtId="169" fontId="3" fillId="33" borderId="10" xfId="0" applyNumberFormat="1" applyFont="1" applyFill="1" applyBorder="1" applyAlignment="1" applyProtection="1">
      <alignment horizontal="center"/>
      <protection/>
    </xf>
    <xf numFmtId="0" fontId="0" fillId="33" borderId="11" xfId="0" applyFill="1" applyBorder="1" applyAlignment="1" applyProtection="1">
      <alignment/>
      <protection/>
    </xf>
    <xf numFmtId="1" fontId="2" fillId="33" borderId="0" xfId="0" applyNumberFormat="1" applyFont="1" applyFill="1" applyBorder="1" applyAlignment="1" applyProtection="1">
      <alignment horizontal="center"/>
      <protection locked="0"/>
    </xf>
    <xf numFmtId="1" fontId="3" fillId="33" borderId="0" xfId="0" applyNumberFormat="1" applyFont="1" applyFill="1" applyBorder="1" applyAlignment="1" applyProtection="1">
      <alignment horizontal="center"/>
      <protection/>
    </xf>
    <xf numFmtId="2" fontId="3" fillId="33" borderId="10" xfId="0" applyNumberFormat="1" applyFont="1" applyFill="1" applyBorder="1" applyAlignment="1" applyProtection="1">
      <alignment horizontal="center"/>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2" fontId="2" fillId="33" borderId="0" xfId="0" applyNumberFormat="1" applyFont="1" applyFill="1" applyBorder="1" applyAlignment="1" applyProtection="1">
      <alignment horizontal="center"/>
      <protection locked="0"/>
    </xf>
    <xf numFmtId="0" fontId="0" fillId="33" borderId="10" xfId="0" applyFill="1" applyBorder="1" applyAlignment="1" applyProtection="1">
      <alignment/>
      <protection/>
    </xf>
    <xf numFmtId="169" fontId="0" fillId="33" borderId="10" xfId="0" applyNumberFormat="1" applyFont="1" applyFill="1" applyBorder="1" applyAlignment="1" applyProtection="1">
      <alignment horizontal="left"/>
      <protection/>
    </xf>
    <xf numFmtId="169" fontId="0" fillId="33" borderId="0" xfId="0" applyNumberFormat="1" applyFont="1" applyFill="1" applyAlignment="1" applyProtection="1">
      <alignment horizontal="centerContinuous"/>
      <protection/>
    </xf>
    <xf numFmtId="0" fontId="0" fillId="33" borderId="0" xfId="0" applyFill="1" applyAlignment="1" applyProtection="1">
      <alignment horizontal="centerContinuous"/>
      <protection/>
    </xf>
    <xf numFmtId="1" fontId="0" fillId="33" borderId="0" xfId="0" applyNumberFormat="1" applyFill="1" applyAlignment="1" applyProtection="1">
      <alignment horizontal="center"/>
      <protection/>
    </xf>
    <xf numFmtId="0" fontId="0" fillId="33" borderId="10" xfId="0" applyFill="1" applyBorder="1" applyAlignment="1" applyProtection="1">
      <alignment horizontal="center"/>
      <protection/>
    </xf>
    <xf numFmtId="1" fontId="0" fillId="33" borderId="10" xfId="0" applyNumberFormat="1" applyFill="1" applyBorder="1" applyAlignment="1" applyProtection="1">
      <alignment horizontal="center"/>
      <protection/>
    </xf>
    <xf numFmtId="164" fontId="7" fillId="33" borderId="0" xfId="0" applyNumberFormat="1" applyFont="1" applyFill="1" applyAlignment="1" applyProtection="1">
      <alignment horizontal="center"/>
      <protection/>
    </xf>
    <xf numFmtId="0" fontId="1" fillId="33" borderId="0" xfId="0" applyFont="1" applyFill="1" applyAlignment="1">
      <alignment horizontal="center"/>
    </xf>
    <xf numFmtId="0" fontId="1" fillId="33" borderId="0" xfId="0" applyFont="1" applyFill="1" applyAlignment="1">
      <alignment horizontal="centerContinuous"/>
    </xf>
    <xf numFmtId="0" fontId="0" fillId="33" borderId="0" xfId="0" applyFill="1" applyAlignment="1">
      <alignment horizontal="centerContinuous"/>
    </xf>
    <xf numFmtId="0" fontId="1" fillId="33" borderId="0" xfId="0" applyFont="1" applyFill="1" applyAlignment="1" applyProtection="1">
      <alignment horizontal="center"/>
      <protection/>
    </xf>
    <xf numFmtId="0" fontId="1" fillId="33" borderId="0" xfId="0" applyFont="1" applyFill="1" applyAlignment="1" applyProtection="1">
      <alignment horizontal="right"/>
      <protection/>
    </xf>
    <xf numFmtId="169" fontId="0" fillId="33" borderId="10" xfId="0" applyNumberFormat="1" applyFont="1" applyFill="1" applyBorder="1" applyAlignment="1" applyProtection="1">
      <alignment horizontal="center"/>
      <protection/>
    </xf>
    <xf numFmtId="169" fontId="0" fillId="33" borderId="0" xfId="0" applyNumberFormat="1" applyFont="1" applyFill="1" applyAlignment="1" applyProtection="1">
      <alignment horizontal="center"/>
      <protection/>
    </xf>
    <xf numFmtId="169" fontId="7" fillId="33" borderId="0" xfId="0" applyNumberFormat="1" applyFont="1" applyFill="1" applyAlignment="1">
      <alignment horizontal="center" wrapText="1"/>
    </xf>
    <xf numFmtId="0" fontId="7" fillId="33" borderId="0" xfId="0" applyFont="1" applyFill="1" applyAlignment="1">
      <alignment horizontal="center"/>
    </xf>
    <xf numFmtId="1" fontId="3" fillId="33" borderId="0" xfId="0" applyNumberFormat="1" applyFont="1" applyFill="1" applyAlignment="1">
      <alignment horizontal="center" vertical="center"/>
    </xf>
    <xf numFmtId="169" fontId="3" fillId="33" borderId="0" xfId="0" applyNumberFormat="1" applyFont="1" applyFill="1" applyAlignment="1">
      <alignment horizontal="center"/>
    </xf>
    <xf numFmtId="0" fontId="7" fillId="33" borderId="0" xfId="0" applyFont="1" applyFill="1" applyAlignment="1">
      <alignment horizontal="left"/>
    </xf>
    <xf numFmtId="0" fontId="2" fillId="33" borderId="0" xfId="0" applyFont="1" applyFill="1" applyAlignment="1" applyProtection="1">
      <alignment horizontal="right"/>
      <protection locked="0"/>
    </xf>
    <xf numFmtId="1" fontId="6" fillId="33" borderId="0" xfId="0" applyNumberFormat="1" applyFont="1" applyFill="1" applyAlignment="1">
      <alignment horizontal="center"/>
    </xf>
    <xf numFmtId="0" fontId="0" fillId="33" borderId="15" xfId="0" applyFill="1" applyBorder="1" applyAlignment="1">
      <alignment/>
    </xf>
    <xf numFmtId="0" fontId="0" fillId="33" borderId="16" xfId="0" applyFill="1" applyBorder="1" applyAlignment="1">
      <alignment/>
    </xf>
    <xf numFmtId="0" fontId="2" fillId="33" borderId="17" xfId="0" applyFont="1" applyFill="1" applyBorder="1" applyAlignment="1" applyProtection="1">
      <alignment horizontal="center"/>
      <protection locked="0"/>
    </xf>
    <xf numFmtId="0" fontId="0" fillId="33" borderId="12" xfId="0" applyFill="1" applyBorder="1" applyAlignment="1">
      <alignment/>
    </xf>
    <xf numFmtId="0" fontId="2" fillId="33" borderId="13" xfId="0" applyFont="1" applyFill="1" applyBorder="1" applyAlignment="1" applyProtection="1">
      <alignment horizontal="center"/>
      <protection locked="0"/>
    </xf>
    <xf numFmtId="0" fontId="8" fillId="33" borderId="0" xfId="0" applyFont="1" applyFill="1" applyAlignment="1">
      <alignment horizontal="center"/>
    </xf>
    <xf numFmtId="0" fontId="16" fillId="33" borderId="0" xfId="0" applyFont="1" applyFill="1" applyAlignment="1">
      <alignment/>
    </xf>
    <xf numFmtId="0" fontId="51" fillId="33" borderId="0" xfId="0" applyFont="1" applyFill="1" applyAlignment="1" applyProtection="1">
      <alignment horizontal="center"/>
      <protection locked="0"/>
    </xf>
    <xf numFmtId="0" fontId="52" fillId="33" borderId="0" xfId="0" applyFont="1" applyFill="1" applyAlignment="1" applyProtection="1">
      <alignment horizontal="center"/>
      <protection/>
    </xf>
    <xf numFmtId="0" fontId="8" fillId="33" borderId="0" xfId="0" applyFont="1" applyFill="1" applyAlignment="1">
      <alignment/>
    </xf>
    <xf numFmtId="0" fontId="0" fillId="33" borderId="0" xfId="0" applyFont="1" applyFill="1" applyAlignment="1">
      <alignment/>
    </xf>
    <xf numFmtId="0" fontId="0" fillId="33" borderId="0" xfId="0" applyFill="1" applyAlignment="1" applyProtection="1">
      <alignment/>
      <protection locked="0"/>
    </xf>
    <xf numFmtId="0" fontId="0" fillId="34" borderId="0" xfId="0" applyFill="1" applyAlignment="1">
      <alignment/>
    </xf>
    <xf numFmtId="0" fontId="0" fillId="34" borderId="0" xfId="0" applyFont="1" applyFill="1" applyAlignment="1">
      <alignment/>
    </xf>
    <xf numFmtId="0" fontId="8" fillId="34" borderId="0" xfId="0" applyFont="1" applyFill="1" applyAlignment="1">
      <alignment/>
    </xf>
    <xf numFmtId="0" fontId="1" fillId="34" borderId="0" xfId="0" applyFont="1" applyFill="1" applyAlignment="1">
      <alignment/>
    </xf>
    <xf numFmtId="0" fontId="2" fillId="34" borderId="0" xfId="0" applyFont="1" applyFill="1" applyAlignment="1" applyProtection="1">
      <alignment horizontal="center"/>
      <protection locked="0"/>
    </xf>
    <xf numFmtId="0" fontId="6" fillId="34" borderId="0" xfId="0" applyFont="1" applyFill="1" applyAlignment="1">
      <alignment horizontal="center"/>
    </xf>
    <xf numFmtId="0" fontId="13" fillId="34" borderId="0" xfId="0" applyFont="1" applyFill="1" applyAlignment="1">
      <alignment/>
    </xf>
    <xf numFmtId="0" fontId="7" fillId="34" borderId="0" xfId="0" applyFont="1" applyFill="1" applyAlignment="1">
      <alignment horizontal="center"/>
    </xf>
    <xf numFmtId="0" fontId="0" fillId="34" borderId="0" xfId="0" applyFill="1" applyBorder="1" applyAlignment="1">
      <alignment/>
    </xf>
    <xf numFmtId="0" fontId="7" fillId="34" borderId="0" xfId="0" applyFont="1" applyFill="1" applyBorder="1" applyAlignment="1">
      <alignment horizontal="center"/>
    </xf>
    <xf numFmtId="0" fontId="0" fillId="33" borderId="11" xfId="0" applyFont="1" applyFill="1" applyBorder="1" applyAlignment="1">
      <alignment/>
    </xf>
    <xf numFmtId="0" fontId="0" fillId="33" borderId="13" xfId="0" applyFont="1" applyFill="1" applyBorder="1" applyAlignment="1">
      <alignment/>
    </xf>
    <xf numFmtId="169" fontId="51" fillId="33" borderId="0" xfId="0" applyNumberFormat="1" applyFont="1" applyFill="1" applyAlignment="1" applyProtection="1">
      <alignment horizontal="center"/>
      <protection locked="0"/>
    </xf>
    <xf numFmtId="1" fontId="0" fillId="33" borderId="0" xfId="0" applyNumberFormat="1" applyFont="1" applyFill="1" applyAlignment="1">
      <alignment horizontal="left"/>
    </xf>
    <xf numFmtId="0" fontId="0" fillId="33" borderId="15" xfId="0" applyFill="1" applyBorder="1" applyAlignment="1">
      <alignment wrapText="1"/>
    </xf>
    <xf numFmtId="0" fontId="0" fillId="33" borderId="16" xfId="0" applyFill="1" applyBorder="1" applyAlignment="1">
      <alignment wrapText="1"/>
    </xf>
    <xf numFmtId="0" fontId="0" fillId="33" borderId="17" xfId="0" applyFill="1" applyBorder="1" applyAlignment="1">
      <alignment wrapText="1"/>
    </xf>
    <xf numFmtId="0" fontId="0" fillId="33" borderId="12" xfId="0" applyFill="1" applyBorder="1" applyAlignment="1">
      <alignment wrapText="1"/>
    </xf>
    <xf numFmtId="0" fontId="0" fillId="33" borderId="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0" xfId="0" applyFill="1" applyBorder="1" applyAlignment="1">
      <alignment wrapText="1"/>
    </xf>
    <xf numFmtId="0" fontId="0" fillId="33" borderId="11" xfId="0" applyFill="1" applyBorder="1" applyAlignment="1">
      <alignment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4" xfId="0" applyFill="1" applyBorder="1" applyAlignment="1">
      <alignment vertical="center" wrapText="1"/>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4"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Alignment="1">
      <alignment wrapText="1"/>
    </xf>
    <xf numFmtId="0" fontId="0" fillId="33" borderId="12" xfId="0" applyFill="1" applyBorder="1" applyAlignment="1">
      <alignment vertical="center" wrapText="1"/>
    </xf>
    <xf numFmtId="0" fontId="0" fillId="33" borderId="0" xfId="0" applyFill="1" applyBorder="1" applyAlignment="1">
      <alignment vertical="center" wrapText="1"/>
    </xf>
    <xf numFmtId="0" fontId="0" fillId="33" borderId="13" xfId="0" applyFill="1" applyBorder="1" applyAlignment="1">
      <alignment vertical="center" wrapText="1"/>
    </xf>
    <xf numFmtId="0" fontId="0" fillId="0" borderId="14" xfId="0" applyBorder="1" applyAlignment="1">
      <alignment/>
    </xf>
    <xf numFmtId="0" fontId="0" fillId="0" borderId="10" xfId="0" applyBorder="1" applyAlignment="1">
      <alignment/>
    </xf>
    <xf numFmtId="0" fontId="0" fillId="0" borderId="11" xfId="0"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4" borderId="15" xfId="0" applyFill="1" applyBorder="1" applyAlignment="1">
      <alignment vertical="center" wrapText="1"/>
    </xf>
    <xf numFmtId="0" fontId="0" fillId="34" borderId="16" xfId="0" applyFill="1" applyBorder="1" applyAlignment="1">
      <alignment vertical="center" wrapText="1"/>
    </xf>
    <xf numFmtId="0" fontId="0" fillId="34" borderId="17" xfId="0" applyFill="1" applyBorder="1" applyAlignment="1">
      <alignment vertical="center" wrapText="1"/>
    </xf>
    <xf numFmtId="0" fontId="0" fillId="34" borderId="12" xfId="0" applyFill="1" applyBorder="1" applyAlignment="1">
      <alignment vertical="center" wrapText="1"/>
    </xf>
    <xf numFmtId="0" fontId="0" fillId="34" borderId="0"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0" xfId="0" applyFill="1" applyBorder="1" applyAlignment="1">
      <alignment vertical="center" wrapText="1"/>
    </xf>
    <xf numFmtId="0" fontId="0" fillId="34" borderId="11" xfId="0" applyFill="1" applyBorder="1" applyAlignment="1">
      <alignment vertical="center" wrapText="1"/>
    </xf>
    <xf numFmtId="0" fontId="0" fillId="34" borderId="15" xfId="0" applyFill="1" applyBorder="1" applyAlignment="1">
      <alignment wrapText="1"/>
    </xf>
    <xf numFmtId="0" fontId="0" fillId="34" borderId="16" xfId="0" applyFill="1" applyBorder="1" applyAlignment="1">
      <alignment wrapText="1"/>
    </xf>
    <xf numFmtId="0" fontId="0" fillId="34" borderId="17" xfId="0" applyFill="1" applyBorder="1" applyAlignment="1">
      <alignment wrapText="1"/>
    </xf>
    <xf numFmtId="0" fontId="0" fillId="34" borderId="14" xfId="0" applyFill="1" applyBorder="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0" borderId="0" xfId="0" applyAlignment="1">
      <alignment/>
    </xf>
    <xf numFmtId="0" fontId="0" fillId="33" borderId="15" xfId="0" applyFill="1" applyBorder="1" applyAlignment="1" applyProtection="1">
      <alignment vertical="center" wrapText="1"/>
      <protection/>
    </xf>
    <xf numFmtId="0" fontId="0" fillId="33" borderId="16" xfId="0"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14" xfId="0" applyFill="1" applyBorder="1" applyAlignment="1" applyProtection="1">
      <alignment vertical="center" wrapText="1"/>
      <protection/>
    </xf>
    <xf numFmtId="0" fontId="0" fillId="33" borderId="10"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0" xfId="0" applyFill="1" applyAlignment="1" applyProtection="1">
      <alignment wrapText="1"/>
      <protection/>
    </xf>
    <xf numFmtId="0" fontId="0" fillId="0" borderId="0" xfId="0" applyAlignment="1" applyProtection="1">
      <alignment/>
      <protection/>
    </xf>
    <xf numFmtId="0" fontId="0" fillId="33" borderId="15" xfId="0"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485775</xdr:colOff>
      <xdr:row>4</xdr:row>
      <xdr:rowOff>19050</xdr:rowOff>
    </xdr:to>
    <xdr:pic>
      <xdr:nvPicPr>
        <xdr:cNvPr id="1" name="Picture 1" descr="Indigo Logo.jpg"/>
        <xdr:cNvPicPr preferRelativeResize="1">
          <a:picLocks noChangeAspect="1"/>
        </xdr:cNvPicPr>
      </xdr:nvPicPr>
      <xdr:blipFill>
        <a:blip r:embed="rId1"/>
        <a:stretch>
          <a:fillRect/>
        </a:stretch>
      </xdr:blipFill>
      <xdr:spPr>
        <a:xfrm>
          <a:off x="0" y="0"/>
          <a:ext cx="16954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219075</xdr:colOff>
      <xdr:row>7</xdr:row>
      <xdr:rowOff>142875</xdr:rowOff>
    </xdr:from>
    <xdr:to>
      <xdr:col>7</xdr:col>
      <xdr:colOff>542925</xdr:colOff>
      <xdr:row>18</xdr:row>
      <xdr:rowOff>133350</xdr:rowOff>
    </xdr:to>
    <xdr:grpSp>
      <xdr:nvGrpSpPr>
        <xdr:cNvPr id="1" name="Group 10"/>
        <xdr:cNvGrpSpPr>
          <a:grpSpLocks/>
        </xdr:cNvGrpSpPr>
      </xdr:nvGrpSpPr>
      <xdr:grpSpPr>
        <a:xfrm>
          <a:off x="219075" y="1276350"/>
          <a:ext cx="5381625" cy="1771650"/>
          <a:chOff x="23" y="36"/>
          <a:chExt cx="565" cy="186"/>
        </a:xfrm>
        <a:solidFill>
          <a:srgbClr val="FFFFFF"/>
        </a:solidFill>
      </xdr:grpSpPr>
      <xdr:sp>
        <xdr:nvSpPr>
          <xdr:cNvPr id="2" name="Rectangle 1"/>
          <xdr:cNvSpPr>
            <a:spLocks/>
          </xdr:cNvSpPr>
        </xdr:nvSpPr>
        <xdr:spPr>
          <a:xfrm>
            <a:off x="128" y="36"/>
            <a:ext cx="127" cy="13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
          <xdr:cNvSpPr>
            <a:spLocks/>
          </xdr:cNvSpPr>
        </xdr:nvSpPr>
        <xdr:spPr>
          <a:xfrm>
            <a:off x="129" y="71"/>
            <a:ext cx="125" cy="98"/>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Oval 3"/>
          <xdr:cNvSpPr>
            <a:spLocks/>
          </xdr:cNvSpPr>
        </xdr:nvSpPr>
        <xdr:spPr>
          <a:xfrm>
            <a:off x="23" y="120"/>
            <a:ext cx="48" cy="4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46" y="119"/>
            <a:ext cx="34" cy="2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73" y="128"/>
            <a:ext cx="54"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7" name="Group 8"/>
          <xdr:cNvGrpSpPr>
            <a:grpSpLocks/>
          </xdr:cNvGrpSpPr>
        </xdr:nvGrpSpPr>
        <xdr:grpSpPr>
          <a:xfrm>
            <a:off x="255" y="142"/>
            <a:ext cx="297" cy="23"/>
            <a:chOff x="255" y="142"/>
            <a:chExt cx="297" cy="23"/>
          </a:xfrm>
          <a:solidFill>
            <a:srgbClr val="FFFFFF"/>
          </a:solidFill>
        </xdr:grpSpPr>
        <xdr:sp>
          <xdr:nvSpPr>
            <xdr:cNvPr id="8" name="Rectangle 6"/>
            <xdr:cNvSpPr>
              <a:spLocks/>
            </xdr:cNvSpPr>
          </xdr:nvSpPr>
          <xdr:spPr>
            <a:xfrm>
              <a:off x="255" y="142"/>
              <a:ext cx="29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7"/>
            <xdr:cNvSpPr>
              <a:spLocks/>
            </xdr:cNvSpPr>
          </xdr:nvSpPr>
          <xdr:spPr>
            <a:xfrm>
              <a:off x="541" y="142"/>
              <a:ext cx="11" cy="2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 name="Freeform 9"/>
          <xdr:cNvSpPr>
            <a:spLocks/>
          </xdr:cNvSpPr>
        </xdr:nvSpPr>
        <xdr:spPr>
          <a:xfrm rot="21409650">
            <a:off x="543" y="150"/>
            <a:ext cx="45" cy="72"/>
          </a:xfrm>
          <a:custGeom>
            <a:pathLst>
              <a:path h="72" w="45">
                <a:moveTo>
                  <a:pt x="5" y="14"/>
                </a:moveTo>
                <a:lnTo>
                  <a:pt x="11" y="21"/>
                </a:lnTo>
                <a:lnTo>
                  <a:pt x="23" y="38"/>
                </a:lnTo>
                <a:lnTo>
                  <a:pt x="28" y="61"/>
                </a:lnTo>
                <a:lnTo>
                  <a:pt x="25" y="72"/>
                </a:lnTo>
                <a:lnTo>
                  <a:pt x="35" y="68"/>
                </a:lnTo>
                <a:lnTo>
                  <a:pt x="41" y="55"/>
                </a:lnTo>
                <a:lnTo>
                  <a:pt x="45" y="45"/>
                </a:lnTo>
                <a:lnTo>
                  <a:pt x="42" y="31"/>
                </a:lnTo>
                <a:lnTo>
                  <a:pt x="35" y="20"/>
                </a:lnTo>
                <a:lnTo>
                  <a:pt x="25" y="7"/>
                </a:lnTo>
                <a:lnTo>
                  <a:pt x="2" y="0"/>
                </a:lnTo>
                <a:lnTo>
                  <a:pt x="0" y="5"/>
                </a:lnTo>
                <a:lnTo>
                  <a:pt x="2" y="10"/>
                </a:lnTo>
                <a:lnTo>
                  <a:pt x="5" y="14"/>
                </a:lnTo>
                <a:close/>
              </a:path>
            </a:pathLst>
          </a:cu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0</xdr:row>
      <xdr:rowOff>0</xdr:rowOff>
    </xdr:from>
    <xdr:to>
      <xdr:col>2</xdr:col>
      <xdr:colOff>295275</xdr:colOff>
      <xdr:row>4</xdr:row>
      <xdr:rowOff>19050</xdr:rowOff>
    </xdr:to>
    <xdr:pic>
      <xdr:nvPicPr>
        <xdr:cNvPr id="11" name="Picture 11" descr="Indigo Logo.jpg"/>
        <xdr:cNvPicPr preferRelativeResize="1">
          <a:picLocks noChangeAspect="1"/>
        </xdr:cNvPicPr>
      </xdr:nvPicPr>
      <xdr:blipFill>
        <a:blip r:embed="rId1"/>
        <a:stretch>
          <a:fillRect/>
        </a:stretch>
      </xdr:blipFill>
      <xdr:spPr>
        <a:xfrm>
          <a:off x="0" y="0"/>
          <a:ext cx="18288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20</xdr:row>
      <xdr:rowOff>104775</xdr:rowOff>
    </xdr:from>
    <xdr:to>
      <xdr:col>5</xdr:col>
      <xdr:colOff>333375</xdr:colOff>
      <xdr:row>31</xdr:row>
      <xdr:rowOff>47625</xdr:rowOff>
    </xdr:to>
    <xdr:grpSp>
      <xdr:nvGrpSpPr>
        <xdr:cNvPr id="1" name="Group 20"/>
        <xdr:cNvGrpSpPr>
          <a:grpSpLocks/>
        </xdr:cNvGrpSpPr>
      </xdr:nvGrpSpPr>
      <xdr:grpSpPr>
        <a:xfrm>
          <a:off x="419100" y="3381375"/>
          <a:ext cx="3105150" cy="1724025"/>
          <a:chOff x="69" y="248"/>
          <a:chExt cx="311" cy="181"/>
        </a:xfrm>
        <a:solidFill>
          <a:srgbClr val="FFFFFF"/>
        </a:solidFill>
      </xdr:grpSpPr>
      <xdr:grpSp>
        <xdr:nvGrpSpPr>
          <xdr:cNvPr id="2" name="Group 10"/>
          <xdr:cNvGrpSpPr>
            <a:grpSpLocks/>
          </xdr:cNvGrpSpPr>
        </xdr:nvGrpSpPr>
        <xdr:grpSpPr>
          <a:xfrm>
            <a:off x="126" y="248"/>
            <a:ext cx="244" cy="148"/>
            <a:chOff x="126" y="248"/>
            <a:chExt cx="244" cy="148"/>
          </a:xfrm>
          <a:solidFill>
            <a:srgbClr val="FFFFFF"/>
          </a:solidFill>
        </xdr:grpSpPr>
        <xdr:sp>
          <xdr:nvSpPr>
            <xdr:cNvPr id="3" name="Rectangle 2"/>
            <xdr:cNvSpPr>
              <a:spLocks/>
            </xdr:cNvSpPr>
          </xdr:nvSpPr>
          <xdr:spPr>
            <a:xfrm>
              <a:off x="126" y="311"/>
              <a:ext cx="97" cy="82"/>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224" y="331"/>
              <a:ext cx="146" cy="62"/>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flipV="1">
              <a:off x="221" y="250"/>
              <a:ext cx="146" cy="62"/>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V="1">
              <a:off x="126" y="248"/>
              <a:ext cx="146" cy="62"/>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V="1">
              <a:off x="224" y="287"/>
              <a:ext cx="146" cy="62"/>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7"/>
            <xdr:cNvSpPr>
              <a:spLocks/>
            </xdr:cNvSpPr>
          </xdr:nvSpPr>
          <xdr:spPr>
            <a:xfrm>
              <a:off x="127" y="350"/>
              <a:ext cx="95" cy="43"/>
            </a:xfrm>
            <a:prstGeom prst="rect">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223" y="286"/>
              <a:ext cx="146" cy="107"/>
            </a:xfrm>
            <a:custGeom>
              <a:pathLst>
                <a:path h="107" w="146">
                  <a:moveTo>
                    <a:pt x="0" y="64"/>
                  </a:moveTo>
                  <a:lnTo>
                    <a:pt x="0" y="107"/>
                  </a:lnTo>
                  <a:lnTo>
                    <a:pt x="146" y="45"/>
                  </a:lnTo>
                  <a:lnTo>
                    <a:pt x="146" y="0"/>
                  </a:lnTo>
                  <a:lnTo>
                    <a:pt x="0" y="64"/>
                  </a:lnTo>
                  <a:close/>
                </a:path>
              </a:pathLst>
            </a:cu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222" y="312"/>
              <a:ext cx="0" cy="8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 name="Line 12"/>
          <xdr:cNvSpPr>
            <a:spLocks/>
          </xdr:cNvSpPr>
        </xdr:nvSpPr>
        <xdr:spPr>
          <a:xfrm flipH="1">
            <a:off x="69" y="304"/>
            <a:ext cx="213" cy="89"/>
          </a:xfrm>
          <a:prstGeom prst="line">
            <a:avLst/>
          </a:prstGeom>
          <a:noFill/>
          <a:ln w="57150"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a:off x="197" y="352"/>
            <a:ext cx="0" cy="41"/>
          </a:xfrm>
          <a:prstGeom prst="line">
            <a:avLst/>
          </a:prstGeom>
          <a:noFill/>
          <a:ln w="381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5" name="Line 18"/>
          <xdr:cNvSpPr>
            <a:spLocks/>
          </xdr:cNvSpPr>
        </xdr:nvSpPr>
        <xdr:spPr>
          <a:xfrm>
            <a:off x="127" y="415"/>
            <a:ext cx="95" cy="0"/>
          </a:xfrm>
          <a:prstGeom prst="line">
            <a:avLst/>
          </a:prstGeom>
          <a:noFill/>
          <a:ln w="381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 name="Line 19"/>
          <xdr:cNvSpPr>
            <a:spLocks/>
          </xdr:cNvSpPr>
        </xdr:nvSpPr>
        <xdr:spPr>
          <a:xfrm flipV="1">
            <a:off x="223" y="346"/>
            <a:ext cx="157" cy="69"/>
          </a:xfrm>
          <a:prstGeom prst="line">
            <a:avLst/>
          </a:prstGeom>
          <a:noFill/>
          <a:ln w="381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581025</xdr:colOff>
      <xdr:row>24</xdr:row>
      <xdr:rowOff>123825</xdr:rowOff>
    </xdr:from>
    <xdr:to>
      <xdr:col>11</xdr:col>
      <xdr:colOff>323850</xdr:colOff>
      <xdr:row>32</xdr:row>
      <xdr:rowOff>152400</xdr:rowOff>
    </xdr:to>
    <xdr:grpSp>
      <xdr:nvGrpSpPr>
        <xdr:cNvPr id="19" name="Group 26"/>
        <xdr:cNvGrpSpPr>
          <a:grpSpLocks/>
        </xdr:cNvGrpSpPr>
      </xdr:nvGrpSpPr>
      <xdr:grpSpPr>
        <a:xfrm>
          <a:off x="4381500" y="4048125"/>
          <a:ext cx="2562225" cy="1323975"/>
          <a:chOff x="445" y="340"/>
          <a:chExt cx="293" cy="139"/>
        </a:xfrm>
        <a:solidFill>
          <a:srgbClr val="FFFFFF"/>
        </a:solidFill>
      </xdr:grpSpPr>
      <xdr:sp>
        <xdr:nvSpPr>
          <xdr:cNvPr id="20" name="Oval 21"/>
          <xdr:cNvSpPr>
            <a:spLocks/>
          </xdr:cNvSpPr>
        </xdr:nvSpPr>
        <xdr:spPr>
          <a:xfrm>
            <a:off x="565" y="382"/>
            <a:ext cx="39" cy="65"/>
          </a:xfrm>
          <a:prstGeom prst="ellipse">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3"/>
          <xdr:cNvSpPr>
            <a:spLocks/>
          </xdr:cNvSpPr>
        </xdr:nvSpPr>
        <xdr:spPr>
          <a:xfrm flipV="1">
            <a:off x="461" y="340"/>
            <a:ext cx="271" cy="7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4"/>
          <xdr:cNvSpPr>
            <a:spLocks/>
          </xdr:cNvSpPr>
        </xdr:nvSpPr>
        <xdr:spPr>
          <a:xfrm flipV="1">
            <a:off x="467" y="405"/>
            <a:ext cx="271" cy="7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5"/>
          <xdr:cNvSpPr>
            <a:spLocks/>
          </xdr:cNvSpPr>
        </xdr:nvSpPr>
        <xdr:spPr>
          <a:xfrm>
            <a:off x="445" y="413"/>
            <a:ext cx="39" cy="65"/>
          </a:xfrm>
          <a:prstGeom prst="ellipse">
            <a:avLst/>
          </a:prstGeom>
          <a:solidFill>
            <a:srgbClr val="99CC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133350</xdr:colOff>
      <xdr:row>27</xdr:row>
      <xdr:rowOff>57150</xdr:rowOff>
    </xdr:from>
    <xdr:to>
      <xdr:col>10</xdr:col>
      <xdr:colOff>438150</xdr:colOff>
      <xdr:row>32</xdr:row>
      <xdr:rowOff>9525</xdr:rowOff>
    </xdr:to>
    <xdr:sp>
      <xdr:nvSpPr>
        <xdr:cNvPr id="24" name="Line 27"/>
        <xdr:cNvSpPr>
          <a:spLocks/>
        </xdr:cNvSpPr>
      </xdr:nvSpPr>
      <xdr:spPr>
        <a:xfrm flipH="1">
          <a:off x="3933825" y="4467225"/>
          <a:ext cx="2514600" cy="762000"/>
        </a:xfrm>
        <a:prstGeom prst="line">
          <a:avLst/>
        </a:prstGeom>
        <a:noFill/>
        <a:ln w="571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25</xdr:row>
      <xdr:rowOff>152400</xdr:rowOff>
    </xdr:from>
    <xdr:to>
      <xdr:col>11</xdr:col>
      <xdr:colOff>38100</xdr:colOff>
      <xdr:row>28</xdr:row>
      <xdr:rowOff>38100</xdr:rowOff>
    </xdr:to>
    <xdr:sp>
      <xdr:nvSpPr>
        <xdr:cNvPr id="25" name="WordArt 28"/>
        <xdr:cNvSpPr>
          <a:spLocks/>
        </xdr:cNvSpPr>
      </xdr:nvSpPr>
      <xdr:spPr>
        <a:xfrm>
          <a:off x="6496050" y="4238625"/>
          <a:ext cx="161925" cy="371475"/>
        </a:xfrm>
        <a:prstGeom prst="rect"/>
        <a:noFill/>
      </xdr:spPr>
      <xdr:txBody>
        <a:bodyPr fromWordArt="1" wrap="none" lIns="91440" tIns="45720" rIns="91440" bIns="45720">
          <a:prstTxWarp prst="textPlain"/>
        </a:bodyPr>
        <a:p>
          <a:pPr algn="ctr"/>
          <a:r>
            <a:rPr sz="24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Q</a:t>
          </a:r>
        </a:p>
      </xdr:txBody>
    </xdr:sp>
    <xdr:clientData/>
  </xdr:twoCellAnchor>
  <xdr:twoCellAnchor editAs="oneCell">
    <xdr:from>
      <xdr:col>0</xdr:col>
      <xdr:colOff>0</xdr:colOff>
      <xdr:row>0</xdr:row>
      <xdr:rowOff>0</xdr:rowOff>
    </xdr:from>
    <xdr:to>
      <xdr:col>2</xdr:col>
      <xdr:colOff>485775</xdr:colOff>
      <xdr:row>4</xdr:row>
      <xdr:rowOff>19050</xdr:rowOff>
    </xdr:to>
    <xdr:pic>
      <xdr:nvPicPr>
        <xdr:cNvPr id="26" name="Picture 26" descr="Indigo Logo.jpg"/>
        <xdr:cNvPicPr preferRelativeResize="1">
          <a:picLocks noChangeAspect="1"/>
        </xdr:cNvPicPr>
      </xdr:nvPicPr>
      <xdr:blipFill>
        <a:blip r:embed="rId1"/>
        <a:stretch>
          <a:fillRect/>
        </a:stretch>
      </xdr:blipFill>
      <xdr:spPr>
        <a:xfrm>
          <a:off x="0" y="0"/>
          <a:ext cx="18478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6</xdr:row>
      <xdr:rowOff>66675</xdr:rowOff>
    </xdr:from>
    <xdr:to>
      <xdr:col>9</xdr:col>
      <xdr:colOff>409575</xdr:colOff>
      <xdr:row>21</xdr:row>
      <xdr:rowOff>47625</xdr:rowOff>
    </xdr:to>
    <xdr:grpSp>
      <xdr:nvGrpSpPr>
        <xdr:cNvPr id="1" name="Group 19"/>
        <xdr:cNvGrpSpPr>
          <a:grpSpLocks/>
        </xdr:cNvGrpSpPr>
      </xdr:nvGrpSpPr>
      <xdr:grpSpPr>
        <a:xfrm>
          <a:off x="771525" y="1038225"/>
          <a:ext cx="4848225" cy="2409825"/>
          <a:chOff x="81" y="24"/>
          <a:chExt cx="538" cy="253"/>
        </a:xfrm>
        <a:solidFill>
          <a:srgbClr val="FFFFFF"/>
        </a:solidFill>
      </xdr:grpSpPr>
      <xdr:sp>
        <xdr:nvSpPr>
          <xdr:cNvPr id="2" name="AutoShape 18"/>
          <xdr:cNvSpPr>
            <a:spLocks/>
          </xdr:cNvSpPr>
        </xdr:nvSpPr>
        <xdr:spPr>
          <a:xfrm>
            <a:off x="81" y="188"/>
            <a:ext cx="153" cy="78"/>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1"/>
          <xdr:cNvSpPr>
            <a:spLocks/>
          </xdr:cNvSpPr>
        </xdr:nvSpPr>
        <xdr:spPr>
          <a:xfrm>
            <a:off x="89" y="208"/>
            <a:ext cx="136" cy="69"/>
          </a:xfrm>
          <a:custGeom>
            <a:pathLst>
              <a:path h="21600" w="21600">
                <a:moveTo>
                  <a:pt x="0" y="0"/>
                </a:moveTo>
                <a:lnTo>
                  <a:pt x="5400" y="21600"/>
                </a:lnTo>
                <a:lnTo>
                  <a:pt x="16200" y="21600"/>
                </a:lnTo>
                <a:lnTo>
                  <a:pt x="21600" y="0"/>
                </a:lnTo>
                <a:lnTo>
                  <a:pt x="0" y="0"/>
                </a:lnTo>
                <a:close/>
              </a:path>
            </a:pathLst>
          </a:cu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5"/>
          <xdr:cNvGrpSpPr>
            <a:grpSpLocks/>
          </xdr:cNvGrpSpPr>
        </xdr:nvGrpSpPr>
        <xdr:grpSpPr>
          <a:xfrm>
            <a:off x="269" y="203"/>
            <a:ext cx="44" cy="31"/>
            <a:chOff x="276" y="187"/>
            <a:chExt cx="44" cy="31"/>
          </a:xfrm>
          <a:solidFill>
            <a:srgbClr val="FFFFFF"/>
          </a:solidFill>
        </xdr:grpSpPr>
        <xdr:sp>
          <xdr:nvSpPr>
            <xdr:cNvPr id="5" name="Oval 3"/>
            <xdr:cNvSpPr>
              <a:spLocks/>
            </xdr:cNvSpPr>
          </xdr:nvSpPr>
          <xdr:spPr>
            <a:xfrm>
              <a:off x="276" y="187"/>
              <a:ext cx="32" cy="3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4"/>
            <xdr:cNvSpPr>
              <a:spLocks/>
            </xdr:cNvSpPr>
          </xdr:nvSpPr>
          <xdr:spPr>
            <a:xfrm>
              <a:off x="290" y="187"/>
              <a:ext cx="30"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Line 6"/>
          <xdr:cNvSpPr>
            <a:spLocks/>
          </xdr:cNvSpPr>
        </xdr:nvSpPr>
        <xdr:spPr>
          <a:xfrm>
            <a:off x="221" y="217"/>
            <a:ext cx="48"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313" y="209"/>
            <a:ext cx="163" cy="0"/>
          </a:xfrm>
          <a:prstGeom prst="line">
            <a:avLst/>
          </a:prstGeom>
          <a:noFill/>
          <a:ln w="476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V="1">
            <a:off x="475" y="57"/>
            <a:ext cx="0" cy="153"/>
          </a:xfrm>
          <a:prstGeom prst="line">
            <a:avLst/>
          </a:prstGeom>
          <a:noFill/>
          <a:ln w="476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475" y="59"/>
            <a:ext cx="55"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1" name="Group 16"/>
          <xdr:cNvGrpSpPr>
            <a:grpSpLocks/>
          </xdr:cNvGrpSpPr>
        </xdr:nvGrpSpPr>
        <xdr:grpSpPr>
          <a:xfrm>
            <a:off x="529" y="25"/>
            <a:ext cx="90" cy="78"/>
            <a:chOff x="529" y="25"/>
            <a:chExt cx="90" cy="78"/>
          </a:xfrm>
          <a:solidFill>
            <a:srgbClr val="FFFFFF"/>
          </a:solidFill>
        </xdr:grpSpPr>
        <xdr:sp>
          <xdr:nvSpPr>
            <xdr:cNvPr id="12" name="Rectangle 2"/>
            <xdr:cNvSpPr>
              <a:spLocks/>
            </xdr:cNvSpPr>
          </xdr:nvSpPr>
          <xdr:spPr>
            <a:xfrm>
              <a:off x="529" y="25"/>
              <a:ext cx="90" cy="78"/>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a:off x="529" y="47"/>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a:off x="530" y="43"/>
              <a:ext cx="8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5" name="Line 13"/>
          <xdr:cNvSpPr>
            <a:spLocks/>
          </xdr:cNvSpPr>
        </xdr:nvSpPr>
        <xdr:spPr>
          <a:xfrm flipH="1">
            <a:off x="190" y="55"/>
            <a:ext cx="254" cy="0"/>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4"/>
          <xdr:cNvSpPr>
            <a:spLocks/>
          </xdr:cNvSpPr>
        </xdr:nvSpPr>
        <xdr:spPr>
          <a:xfrm>
            <a:off x="207" y="56"/>
            <a:ext cx="0" cy="156"/>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 name="AutoShape 17"/>
          <xdr:cNvSpPr>
            <a:spLocks/>
          </xdr:cNvSpPr>
        </xdr:nvSpPr>
        <xdr:spPr>
          <a:xfrm>
            <a:off x="529" y="24"/>
            <a:ext cx="90" cy="21"/>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47</xdr:row>
      <xdr:rowOff>19050</xdr:rowOff>
    </xdr:from>
    <xdr:to>
      <xdr:col>3</xdr:col>
      <xdr:colOff>190500</xdr:colOff>
      <xdr:row>48</xdr:row>
      <xdr:rowOff>9525</xdr:rowOff>
    </xdr:to>
    <xdr:sp>
      <xdr:nvSpPr>
        <xdr:cNvPr id="18" name="Line 20"/>
        <xdr:cNvSpPr>
          <a:spLocks/>
        </xdr:cNvSpPr>
      </xdr:nvSpPr>
      <xdr:spPr>
        <a:xfrm flipV="1">
          <a:off x="1552575" y="7715250"/>
          <a:ext cx="190500" cy="152400"/>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48</xdr:row>
      <xdr:rowOff>19050</xdr:rowOff>
    </xdr:from>
    <xdr:to>
      <xdr:col>5</xdr:col>
      <xdr:colOff>180975</xdr:colOff>
      <xdr:row>49</xdr:row>
      <xdr:rowOff>9525</xdr:rowOff>
    </xdr:to>
    <xdr:sp>
      <xdr:nvSpPr>
        <xdr:cNvPr id="19" name="Line 21"/>
        <xdr:cNvSpPr>
          <a:spLocks/>
        </xdr:cNvSpPr>
      </xdr:nvSpPr>
      <xdr:spPr>
        <a:xfrm flipV="1">
          <a:off x="2762250" y="7877175"/>
          <a:ext cx="190500" cy="152400"/>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47</xdr:row>
      <xdr:rowOff>0</xdr:rowOff>
    </xdr:from>
    <xdr:to>
      <xdr:col>5</xdr:col>
      <xdr:colOff>219075</xdr:colOff>
      <xdr:row>47</xdr:row>
      <xdr:rowOff>152400</xdr:rowOff>
    </xdr:to>
    <xdr:sp>
      <xdr:nvSpPr>
        <xdr:cNvPr id="20" name="Line 22"/>
        <xdr:cNvSpPr>
          <a:spLocks/>
        </xdr:cNvSpPr>
      </xdr:nvSpPr>
      <xdr:spPr>
        <a:xfrm flipV="1">
          <a:off x="2800350" y="7696200"/>
          <a:ext cx="190500" cy="152400"/>
        </a:xfrm>
        <a:prstGeom prst="line">
          <a:avLst/>
        </a:prstGeom>
        <a:no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48</xdr:row>
      <xdr:rowOff>9525</xdr:rowOff>
    </xdr:from>
    <xdr:to>
      <xdr:col>7</xdr:col>
      <xdr:colOff>219075</xdr:colOff>
      <xdr:row>49</xdr:row>
      <xdr:rowOff>0</xdr:rowOff>
    </xdr:to>
    <xdr:sp>
      <xdr:nvSpPr>
        <xdr:cNvPr id="21" name="Line 23"/>
        <xdr:cNvSpPr>
          <a:spLocks/>
        </xdr:cNvSpPr>
      </xdr:nvSpPr>
      <xdr:spPr>
        <a:xfrm flipV="1">
          <a:off x="4019550" y="7867650"/>
          <a:ext cx="190500" cy="152400"/>
        </a:xfrm>
        <a:prstGeom prst="line">
          <a:avLst/>
        </a:prstGeom>
        <a:no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47</xdr:row>
      <xdr:rowOff>19050</xdr:rowOff>
    </xdr:from>
    <xdr:to>
      <xdr:col>9</xdr:col>
      <xdr:colOff>257175</xdr:colOff>
      <xdr:row>48</xdr:row>
      <xdr:rowOff>9525</xdr:rowOff>
    </xdr:to>
    <xdr:sp>
      <xdr:nvSpPr>
        <xdr:cNvPr id="22" name="Line 25"/>
        <xdr:cNvSpPr>
          <a:spLocks/>
        </xdr:cNvSpPr>
      </xdr:nvSpPr>
      <xdr:spPr>
        <a:xfrm flipV="1">
          <a:off x="5276850" y="7715250"/>
          <a:ext cx="190500" cy="15240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48</xdr:row>
      <xdr:rowOff>19050</xdr:rowOff>
    </xdr:from>
    <xdr:to>
      <xdr:col>9</xdr:col>
      <xdr:colOff>238125</xdr:colOff>
      <xdr:row>49</xdr:row>
      <xdr:rowOff>9525</xdr:rowOff>
    </xdr:to>
    <xdr:sp>
      <xdr:nvSpPr>
        <xdr:cNvPr id="23" name="Line 26"/>
        <xdr:cNvSpPr>
          <a:spLocks/>
        </xdr:cNvSpPr>
      </xdr:nvSpPr>
      <xdr:spPr>
        <a:xfrm flipV="1">
          <a:off x="5257800" y="7877175"/>
          <a:ext cx="190500" cy="15240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47</xdr:row>
      <xdr:rowOff>9525</xdr:rowOff>
    </xdr:from>
    <xdr:to>
      <xdr:col>11</xdr:col>
      <xdr:colOff>266700</xdr:colOff>
      <xdr:row>48</xdr:row>
      <xdr:rowOff>0</xdr:rowOff>
    </xdr:to>
    <xdr:sp>
      <xdr:nvSpPr>
        <xdr:cNvPr id="24" name="Line 27"/>
        <xdr:cNvSpPr>
          <a:spLocks/>
        </xdr:cNvSpPr>
      </xdr:nvSpPr>
      <xdr:spPr>
        <a:xfrm flipV="1">
          <a:off x="6505575" y="7705725"/>
          <a:ext cx="190500" cy="15240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46</xdr:row>
      <xdr:rowOff>123825</xdr:rowOff>
    </xdr:from>
    <xdr:to>
      <xdr:col>7</xdr:col>
      <xdr:colOff>219075</xdr:colOff>
      <xdr:row>48</xdr:row>
      <xdr:rowOff>19050</xdr:rowOff>
    </xdr:to>
    <xdr:sp>
      <xdr:nvSpPr>
        <xdr:cNvPr id="25" name="Oval 28"/>
        <xdr:cNvSpPr>
          <a:spLocks/>
        </xdr:cNvSpPr>
      </xdr:nvSpPr>
      <xdr:spPr>
        <a:xfrm>
          <a:off x="3981450" y="7658100"/>
          <a:ext cx="2286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47</xdr:row>
      <xdr:rowOff>152400</xdr:rowOff>
    </xdr:from>
    <xdr:to>
      <xdr:col>11</xdr:col>
      <xdr:colOff>361950</xdr:colOff>
      <xdr:row>49</xdr:row>
      <xdr:rowOff>47625</xdr:rowOff>
    </xdr:to>
    <xdr:sp>
      <xdr:nvSpPr>
        <xdr:cNvPr id="26" name="Oval 29"/>
        <xdr:cNvSpPr>
          <a:spLocks/>
        </xdr:cNvSpPr>
      </xdr:nvSpPr>
      <xdr:spPr>
        <a:xfrm>
          <a:off x="6410325" y="7848600"/>
          <a:ext cx="3810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48</xdr:row>
      <xdr:rowOff>142875</xdr:rowOff>
    </xdr:from>
    <xdr:to>
      <xdr:col>13</xdr:col>
      <xdr:colOff>180975</xdr:colOff>
      <xdr:row>49</xdr:row>
      <xdr:rowOff>47625</xdr:rowOff>
    </xdr:to>
    <xdr:sp>
      <xdr:nvSpPr>
        <xdr:cNvPr id="27" name="AutoShape 33"/>
        <xdr:cNvSpPr>
          <a:spLocks/>
        </xdr:cNvSpPr>
      </xdr:nvSpPr>
      <xdr:spPr>
        <a:xfrm rot="5400000" flipH="1" flipV="1">
          <a:off x="6600825" y="8001000"/>
          <a:ext cx="752475" cy="66675"/>
        </a:xfrm>
        <a:prstGeom prst="curvedConnector4">
          <a:avLst>
            <a:gd name="adj1" fmla="val -392861"/>
            <a:gd name="adj2" fmla="val 12657"/>
          </a:avLst>
        </a:prstGeom>
        <a:noFill/>
        <a:ln w="15875" cmpd="sng">
          <a:solidFill>
            <a:srgbClr val="FF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180975</xdr:colOff>
      <xdr:row>46</xdr:row>
      <xdr:rowOff>66675</xdr:rowOff>
    </xdr:from>
    <xdr:to>
      <xdr:col>12</xdr:col>
      <xdr:colOff>28575</xdr:colOff>
      <xdr:row>46</xdr:row>
      <xdr:rowOff>152400</xdr:rowOff>
    </xdr:to>
    <xdr:sp>
      <xdr:nvSpPr>
        <xdr:cNvPr id="28" name="AutoShape 34"/>
        <xdr:cNvSpPr>
          <a:spLocks/>
        </xdr:cNvSpPr>
      </xdr:nvSpPr>
      <xdr:spPr>
        <a:xfrm rot="5400000" flipH="1" flipV="1">
          <a:off x="4171950" y="7600950"/>
          <a:ext cx="2895600" cy="85725"/>
        </a:xfrm>
        <a:prstGeom prst="curvedConnector2">
          <a:avLst/>
        </a:prstGeom>
        <a:noFill/>
        <a:ln w="15875" cmpd="sng">
          <a:solidFill>
            <a:srgbClr val="FF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3</xdr:col>
      <xdr:colOff>85725</xdr:colOff>
      <xdr:row>4</xdr:row>
      <xdr:rowOff>19050</xdr:rowOff>
    </xdr:to>
    <xdr:pic>
      <xdr:nvPicPr>
        <xdr:cNvPr id="29" name="Picture 30" descr="Indigo Logo.jpg"/>
        <xdr:cNvPicPr preferRelativeResize="1">
          <a:picLocks noChangeAspect="1"/>
        </xdr:cNvPicPr>
      </xdr:nvPicPr>
      <xdr:blipFill>
        <a:blip r:embed="rId1"/>
        <a:stretch>
          <a:fillRect/>
        </a:stretch>
      </xdr:blipFill>
      <xdr:spPr>
        <a:xfrm>
          <a:off x="0" y="0"/>
          <a:ext cx="1638300" cy="666750"/>
        </a:xfrm>
        <a:prstGeom prst="rect">
          <a:avLst/>
        </a:prstGeom>
        <a:noFill/>
        <a:ln w="9525" cmpd="sng">
          <a:noFill/>
        </a:ln>
      </xdr:spPr>
    </xdr:pic>
    <xdr:clientData/>
  </xdr:twoCellAnchor>
  <xdr:twoCellAnchor>
    <xdr:from>
      <xdr:col>7</xdr:col>
      <xdr:colOff>171450</xdr:colOff>
      <xdr:row>48</xdr:row>
      <xdr:rowOff>0</xdr:rowOff>
    </xdr:from>
    <xdr:to>
      <xdr:col>7</xdr:col>
      <xdr:colOff>361950</xdr:colOff>
      <xdr:row>48</xdr:row>
      <xdr:rowOff>152400</xdr:rowOff>
    </xdr:to>
    <xdr:sp>
      <xdr:nvSpPr>
        <xdr:cNvPr id="30" name="Line 26"/>
        <xdr:cNvSpPr>
          <a:spLocks/>
        </xdr:cNvSpPr>
      </xdr:nvSpPr>
      <xdr:spPr>
        <a:xfrm flipV="1">
          <a:off x="4162425" y="7858125"/>
          <a:ext cx="190500" cy="152400"/>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581025</xdr:colOff>
      <xdr:row>50</xdr:row>
      <xdr:rowOff>152400</xdr:rowOff>
    </xdr:from>
    <xdr:to>
      <xdr:col>15</xdr:col>
      <xdr:colOff>314325</xdr:colOff>
      <xdr:row>55</xdr:row>
      <xdr:rowOff>38100</xdr:rowOff>
    </xdr:to>
    <xdr:sp>
      <xdr:nvSpPr>
        <xdr:cNvPr id="31" name="Line Callout 2 (Accent Bar) 37"/>
        <xdr:cNvSpPr>
          <a:spLocks/>
        </xdr:cNvSpPr>
      </xdr:nvSpPr>
      <xdr:spPr>
        <a:xfrm>
          <a:off x="7010400" y="8334375"/>
          <a:ext cx="1695450" cy="695325"/>
        </a:xfrm>
        <a:prstGeom prst="accentCallout2">
          <a:avLst>
            <a:gd name="adj1" fmla="val -207902"/>
            <a:gd name="adj2" fmla="val -9575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kw cancels</a:t>
          </a:r>
          <a:r>
            <a:rPr lang="en-US" cap="none" sz="1100" b="0" i="0" u="none" baseline="0">
              <a:solidFill>
                <a:srgbClr val="FFFFFF"/>
              </a:solidFill>
            </a:rPr>
            <a:t> with kw, but leaves hours sitting there.  Now, we can put hours up top  and keep going.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485775</xdr:colOff>
      <xdr:row>7</xdr:row>
      <xdr:rowOff>104775</xdr:rowOff>
    </xdr:from>
    <xdr:to>
      <xdr:col>5</xdr:col>
      <xdr:colOff>171450</xdr:colOff>
      <xdr:row>16</xdr:row>
      <xdr:rowOff>152400</xdr:rowOff>
    </xdr:to>
    <xdr:grpSp>
      <xdr:nvGrpSpPr>
        <xdr:cNvPr id="1" name="Group 26"/>
        <xdr:cNvGrpSpPr>
          <a:grpSpLocks/>
        </xdr:cNvGrpSpPr>
      </xdr:nvGrpSpPr>
      <xdr:grpSpPr>
        <a:xfrm>
          <a:off x="485775" y="1238250"/>
          <a:ext cx="2457450" cy="1504950"/>
          <a:chOff x="48" y="49"/>
          <a:chExt cx="258" cy="158"/>
        </a:xfrm>
        <a:solidFill>
          <a:srgbClr val="FFFFFF"/>
        </a:solidFill>
      </xdr:grpSpPr>
      <xdr:sp>
        <xdr:nvSpPr>
          <xdr:cNvPr id="2" name="Rectangle 1"/>
          <xdr:cNvSpPr>
            <a:spLocks/>
          </xdr:cNvSpPr>
        </xdr:nvSpPr>
        <xdr:spPr>
          <a:xfrm>
            <a:off x="48" y="70"/>
            <a:ext cx="96" cy="13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2"/>
          <xdr:cNvSpPr>
            <a:spLocks/>
          </xdr:cNvSpPr>
        </xdr:nvSpPr>
        <xdr:spPr>
          <a:xfrm>
            <a:off x="65" y="53"/>
            <a:ext cx="63"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Oval 3"/>
          <xdr:cNvSpPr>
            <a:spLocks/>
          </xdr:cNvSpPr>
        </xdr:nvSpPr>
        <xdr:spPr>
          <a:xfrm>
            <a:off x="220" y="130"/>
            <a:ext cx="71" cy="72"/>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241" y="76"/>
            <a:ext cx="27" cy="64"/>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239" y="49"/>
            <a:ext cx="31"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241" y="71"/>
            <a:ext cx="0"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268" y="67"/>
            <a:ext cx="0" cy="6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8"/>
          <xdr:cNvSpPr>
            <a:spLocks/>
          </xdr:cNvSpPr>
        </xdr:nvSpPr>
        <xdr:spPr>
          <a:xfrm>
            <a:off x="241" y="98"/>
            <a:ext cx="2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280" y="101"/>
            <a:ext cx="2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a:off x="48" y="101"/>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a:off x="48" y="153"/>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utoShape 12"/>
          <xdr:cNvSpPr>
            <a:spLocks/>
          </xdr:cNvSpPr>
        </xdr:nvSpPr>
        <xdr:spPr>
          <a:xfrm>
            <a:off x="154" y="107"/>
            <a:ext cx="68" cy="40"/>
          </a:xfrm>
          <a:prstGeom prst="righ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xdr:col>
      <xdr:colOff>314325</xdr:colOff>
      <xdr:row>40</xdr:row>
      <xdr:rowOff>66675</xdr:rowOff>
    </xdr:from>
    <xdr:to>
      <xdr:col>11</xdr:col>
      <xdr:colOff>419100</xdr:colOff>
      <xdr:row>51</xdr:row>
      <xdr:rowOff>47625</xdr:rowOff>
    </xdr:to>
    <xdr:grpSp>
      <xdr:nvGrpSpPr>
        <xdr:cNvPr id="14" name="Group 27"/>
        <xdr:cNvGrpSpPr>
          <a:grpSpLocks/>
        </xdr:cNvGrpSpPr>
      </xdr:nvGrpSpPr>
      <xdr:grpSpPr>
        <a:xfrm>
          <a:off x="923925" y="6543675"/>
          <a:ext cx="5305425" cy="1762125"/>
          <a:chOff x="97" y="587"/>
          <a:chExt cx="557" cy="185"/>
        </a:xfrm>
        <a:solidFill>
          <a:srgbClr val="FFFFFF"/>
        </a:solidFill>
      </xdr:grpSpPr>
      <xdr:sp>
        <xdr:nvSpPr>
          <xdr:cNvPr id="15" name="AutoShape 14"/>
          <xdr:cNvSpPr>
            <a:spLocks/>
          </xdr:cNvSpPr>
        </xdr:nvSpPr>
        <xdr:spPr>
          <a:xfrm>
            <a:off x="97" y="587"/>
            <a:ext cx="129" cy="114"/>
          </a:xfrm>
          <a:prstGeom prst="flowChartMagneticDisk">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15"/>
          <xdr:cNvSpPr>
            <a:spLocks/>
          </xdr:cNvSpPr>
        </xdr:nvSpPr>
        <xdr:spPr>
          <a:xfrm>
            <a:off x="297" y="660"/>
            <a:ext cx="30" cy="2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6"/>
          <xdr:cNvSpPr>
            <a:spLocks/>
          </xdr:cNvSpPr>
        </xdr:nvSpPr>
        <xdr:spPr>
          <a:xfrm>
            <a:off x="304" y="661"/>
            <a:ext cx="32" cy="1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223" y="672"/>
            <a:ext cx="78"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7" y="670"/>
            <a:ext cx="33"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a:off x="369" y="670"/>
            <a:ext cx="0" cy="56"/>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a:off x="246" y="722"/>
            <a:ext cx="3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flipV="1">
            <a:off x="246" y="771"/>
            <a:ext cx="309"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Freeform 22"/>
          <xdr:cNvSpPr>
            <a:spLocks/>
          </xdr:cNvSpPr>
        </xdr:nvSpPr>
        <xdr:spPr>
          <a:xfrm>
            <a:off x="243" y="723"/>
            <a:ext cx="14" cy="48"/>
          </a:xfrm>
          <a:custGeom>
            <a:pathLst>
              <a:path h="48" w="14">
                <a:moveTo>
                  <a:pt x="4" y="0"/>
                </a:moveTo>
                <a:cubicBezTo>
                  <a:pt x="5" y="6"/>
                  <a:pt x="6" y="14"/>
                  <a:pt x="12" y="18"/>
                </a:cubicBezTo>
                <a:cubicBezTo>
                  <a:pt x="11" y="32"/>
                  <a:pt x="14" y="36"/>
                  <a:pt x="2" y="40"/>
                </a:cubicBezTo>
                <a:cubicBezTo>
                  <a:pt x="1" y="43"/>
                  <a:pt x="0" y="45"/>
                  <a:pt x="3" y="4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Freeform 23"/>
          <xdr:cNvSpPr>
            <a:spLocks/>
          </xdr:cNvSpPr>
        </xdr:nvSpPr>
        <xdr:spPr>
          <a:xfrm>
            <a:off x="545" y="722"/>
            <a:ext cx="16" cy="49"/>
          </a:xfrm>
          <a:custGeom>
            <a:pathLst>
              <a:path h="49" w="16">
                <a:moveTo>
                  <a:pt x="9" y="0"/>
                </a:moveTo>
                <a:cubicBezTo>
                  <a:pt x="8" y="6"/>
                  <a:pt x="8" y="8"/>
                  <a:pt x="4" y="12"/>
                </a:cubicBezTo>
                <a:cubicBezTo>
                  <a:pt x="0" y="23"/>
                  <a:pt x="4" y="32"/>
                  <a:pt x="12" y="37"/>
                </a:cubicBezTo>
                <a:cubicBezTo>
                  <a:pt x="14" y="42"/>
                  <a:pt x="16" y="49"/>
                  <a:pt x="9" y="4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4"/>
          <xdr:cNvSpPr>
            <a:spLocks/>
          </xdr:cNvSpPr>
        </xdr:nvSpPr>
        <xdr:spPr>
          <a:xfrm>
            <a:off x="155" y="738"/>
            <a:ext cx="84" cy="24"/>
          </a:xfrm>
          <a:prstGeom prst="righ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5"/>
          <xdr:cNvSpPr>
            <a:spLocks/>
          </xdr:cNvSpPr>
        </xdr:nvSpPr>
        <xdr:spPr>
          <a:xfrm>
            <a:off x="570" y="738"/>
            <a:ext cx="84" cy="24"/>
          </a:xfrm>
          <a:prstGeom prst="righ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3</xdr:col>
      <xdr:colOff>161925</xdr:colOff>
      <xdr:row>101</xdr:row>
      <xdr:rowOff>38100</xdr:rowOff>
    </xdr:from>
    <xdr:to>
      <xdr:col>12</xdr:col>
      <xdr:colOff>142875</xdr:colOff>
      <xdr:row>117</xdr:row>
      <xdr:rowOff>57150</xdr:rowOff>
    </xdr:to>
    <xdr:pic>
      <xdr:nvPicPr>
        <xdr:cNvPr id="27" name="Picture 28" descr="belt press 2"/>
        <xdr:cNvPicPr preferRelativeResize="1">
          <a:picLocks noChangeAspect="1"/>
        </xdr:cNvPicPr>
      </xdr:nvPicPr>
      <xdr:blipFill>
        <a:blip r:embed="rId1"/>
        <a:stretch>
          <a:fillRect/>
        </a:stretch>
      </xdr:blipFill>
      <xdr:spPr>
        <a:xfrm>
          <a:off x="1990725" y="16392525"/>
          <a:ext cx="4572000" cy="2609850"/>
        </a:xfrm>
        <a:prstGeom prst="rect">
          <a:avLst/>
        </a:prstGeom>
        <a:noFill/>
        <a:ln w="9525" cmpd="sng">
          <a:noFill/>
        </a:ln>
      </xdr:spPr>
    </xdr:pic>
    <xdr:clientData/>
  </xdr:twoCellAnchor>
  <xdr:twoCellAnchor>
    <xdr:from>
      <xdr:col>1</xdr:col>
      <xdr:colOff>76200</xdr:colOff>
      <xdr:row>105</xdr:row>
      <xdr:rowOff>76200</xdr:rowOff>
    </xdr:from>
    <xdr:to>
      <xdr:col>7</xdr:col>
      <xdr:colOff>133350</xdr:colOff>
      <xdr:row>105</xdr:row>
      <xdr:rowOff>76200</xdr:rowOff>
    </xdr:to>
    <xdr:sp>
      <xdr:nvSpPr>
        <xdr:cNvPr id="28" name="Line 29"/>
        <xdr:cNvSpPr>
          <a:spLocks/>
        </xdr:cNvSpPr>
      </xdr:nvSpPr>
      <xdr:spPr>
        <a:xfrm>
          <a:off x="685800" y="17078325"/>
          <a:ext cx="31527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111</xdr:row>
      <xdr:rowOff>142875</xdr:rowOff>
    </xdr:from>
    <xdr:to>
      <xdr:col>3</xdr:col>
      <xdr:colOff>390525</xdr:colOff>
      <xdr:row>114</xdr:row>
      <xdr:rowOff>9525</xdr:rowOff>
    </xdr:to>
    <xdr:sp>
      <xdr:nvSpPr>
        <xdr:cNvPr id="29" name="Line 30"/>
        <xdr:cNvSpPr>
          <a:spLocks/>
        </xdr:cNvSpPr>
      </xdr:nvSpPr>
      <xdr:spPr>
        <a:xfrm flipH="1">
          <a:off x="1314450" y="18116550"/>
          <a:ext cx="904875" cy="3524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485775</xdr:colOff>
      <xdr:row>4</xdr:row>
      <xdr:rowOff>19050</xdr:rowOff>
    </xdr:to>
    <xdr:pic>
      <xdr:nvPicPr>
        <xdr:cNvPr id="30" name="Picture 30" descr="Indigo Logo.jpg"/>
        <xdr:cNvPicPr preferRelativeResize="1">
          <a:picLocks noChangeAspect="1"/>
        </xdr:cNvPicPr>
      </xdr:nvPicPr>
      <xdr:blipFill>
        <a:blip r:embed="rId2"/>
        <a:stretch>
          <a:fillRect/>
        </a:stretch>
      </xdr:blipFill>
      <xdr:spPr>
        <a:xfrm>
          <a:off x="0" y="0"/>
          <a:ext cx="1704975"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9</xdr:row>
      <xdr:rowOff>9525</xdr:rowOff>
    </xdr:from>
    <xdr:to>
      <xdr:col>3</xdr:col>
      <xdr:colOff>228600</xdr:colOff>
      <xdr:row>9</xdr:row>
      <xdr:rowOff>9525</xdr:rowOff>
    </xdr:to>
    <xdr:sp>
      <xdr:nvSpPr>
        <xdr:cNvPr id="1" name="Line 1"/>
        <xdr:cNvSpPr>
          <a:spLocks/>
        </xdr:cNvSpPr>
      </xdr:nvSpPr>
      <xdr:spPr>
        <a:xfrm>
          <a:off x="228600" y="1466850"/>
          <a:ext cx="1828800"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7</xdr:row>
      <xdr:rowOff>0</xdr:rowOff>
    </xdr:from>
    <xdr:to>
      <xdr:col>6</xdr:col>
      <xdr:colOff>542925</xdr:colOff>
      <xdr:row>12</xdr:row>
      <xdr:rowOff>152400</xdr:rowOff>
    </xdr:to>
    <xdr:sp>
      <xdr:nvSpPr>
        <xdr:cNvPr id="2" name="Rectangle 2"/>
        <xdr:cNvSpPr>
          <a:spLocks/>
        </xdr:cNvSpPr>
      </xdr:nvSpPr>
      <xdr:spPr>
        <a:xfrm>
          <a:off x="2076450" y="1133475"/>
          <a:ext cx="2124075" cy="962025"/>
        </a:xfrm>
        <a:prstGeom prst="rect">
          <a:avLst/>
        </a:prstGeom>
        <a:solidFill>
          <a:srgbClr val="9933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9</xdr:row>
      <xdr:rowOff>0</xdr:rowOff>
    </xdr:from>
    <xdr:to>
      <xdr:col>8</xdr:col>
      <xdr:colOff>428625</xdr:colOff>
      <xdr:row>9</xdr:row>
      <xdr:rowOff>0</xdr:rowOff>
    </xdr:to>
    <xdr:sp>
      <xdr:nvSpPr>
        <xdr:cNvPr id="3" name="Line 3"/>
        <xdr:cNvSpPr>
          <a:spLocks/>
        </xdr:cNvSpPr>
      </xdr:nvSpPr>
      <xdr:spPr>
        <a:xfrm>
          <a:off x="4200525" y="1457325"/>
          <a:ext cx="1104900"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7</xdr:row>
      <xdr:rowOff>19050</xdr:rowOff>
    </xdr:from>
    <xdr:to>
      <xdr:col>10</xdr:col>
      <xdr:colOff>457200</xdr:colOff>
      <xdr:row>14</xdr:row>
      <xdr:rowOff>38100</xdr:rowOff>
    </xdr:to>
    <xdr:sp>
      <xdr:nvSpPr>
        <xdr:cNvPr id="4" name="AutoShape 4"/>
        <xdr:cNvSpPr>
          <a:spLocks/>
        </xdr:cNvSpPr>
      </xdr:nvSpPr>
      <xdr:spPr>
        <a:xfrm rot="10800000">
          <a:off x="5133975" y="1152525"/>
          <a:ext cx="1419225" cy="1152525"/>
        </a:xfrm>
        <a:prstGeom prst="triangle">
          <a:avLst/>
        </a:prstGeom>
        <a:gradFill rotWithShape="1">
          <a:gsLst>
            <a:gs pos="0">
              <a:srgbClr val="993300"/>
            </a:gs>
            <a:gs pos="100000">
              <a:srgbClr val="4617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9</xdr:row>
      <xdr:rowOff>9525</xdr:rowOff>
    </xdr:from>
    <xdr:to>
      <xdr:col>12</xdr:col>
      <xdr:colOff>171450</xdr:colOff>
      <xdr:row>9</xdr:row>
      <xdr:rowOff>9525</xdr:rowOff>
    </xdr:to>
    <xdr:sp>
      <xdr:nvSpPr>
        <xdr:cNvPr id="5" name="Line 6"/>
        <xdr:cNvSpPr>
          <a:spLocks/>
        </xdr:cNvSpPr>
      </xdr:nvSpPr>
      <xdr:spPr>
        <a:xfrm>
          <a:off x="6381750" y="1466850"/>
          <a:ext cx="1104900"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14</xdr:row>
      <xdr:rowOff>47625</xdr:rowOff>
    </xdr:from>
    <xdr:to>
      <xdr:col>9</xdr:col>
      <xdr:colOff>361950</xdr:colOff>
      <xdr:row>17</xdr:row>
      <xdr:rowOff>9525</xdr:rowOff>
    </xdr:to>
    <xdr:sp>
      <xdr:nvSpPr>
        <xdr:cNvPr id="6" name="Line 7"/>
        <xdr:cNvSpPr>
          <a:spLocks/>
        </xdr:cNvSpPr>
      </xdr:nvSpPr>
      <xdr:spPr>
        <a:xfrm>
          <a:off x="5848350" y="2314575"/>
          <a:ext cx="0" cy="447675"/>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16</xdr:row>
      <xdr:rowOff>152400</xdr:rowOff>
    </xdr:from>
    <xdr:to>
      <xdr:col>12</xdr:col>
      <xdr:colOff>276225</xdr:colOff>
      <xdr:row>17</xdr:row>
      <xdr:rowOff>0</xdr:rowOff>
    </xdr:to>
    <xdr:sp>
      <xdr:nvSpPr>
        <xdr:cNvPr id="7" name="Line 8"/>
        <xdr:cNvSpPr>
          <a:spLocks/>
        </xdr:cNvSpPr>
      </xdr:nvSpPr>
      <xdr:spPr>
        <a:xfrm flipV="1">
          <a:off x="5905500" y="2743200"/>
          <a:ext cx="1685925" cy="9525"/>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17</xdr:row>
      <xdr:rowOff>0</xdr:rowOff>
    </xdr:from>
    <xdr:to>
      <xdr:col>9</xdr:col>
      <xdr:colOff>304800</xdr:colOff>
      <xdr:row>17</xdr:row>
      <xdr:rowOff>0</xdr:rowOff>
    </xdr:to>
    <xdr:sp>
      <xdr:nvSpPr>
        <xdr:cNvPr id="8" name="Line 9"/>
        <xdr:cNvSpPr>
          <a:spLocks/>
        </xdr:cNvSpPr>
      </xdr:nvSpPr>
      <xdr:spPr>
        <a:xfrm>
          <a:off x="1562100" y="2752725"/>
          <a:ext cx="4229100" cy="0"/>
        </a:xfrm>
        <a:prstGeom prst="line">
          <a:avLst/>
        </a:prstGeom>
        <a:noFill/>
        <a:ln w="476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9</xdr:row>
      <xdr:rowOff>57150</xdr:rowOff>
    </xdr:from>
    <xdr:to>
      <xdr:col>2</xdr:col>
      <xdr:colOff>333375</xdr:colOff>
      <xdr:row>17</xdr:row>
      <xdr:rowOff>19050</xdr:rowOff>
    </xdr:to>
    <xdr:sp>
      <xdr:nvSpPr>
        <xdr:cNvPr id="9" name="Line 10"/>
        <xdr:cNvSpPr>
          <a:spLocks/>
        </xdr:cNvSpPr>
      </xdr:nvSpPr>
      <xdr:spPr>
        <a:xfrm flipV="1">
          <a:off x="1552575" y="1514475"/>
          <a:ext cx="0" cy="125730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16</xdr:row>
      <xdr:rowOff>47625</xdr:rowOff>
    </xdr:from>
    <xdr:to>
      <xdr:col>8</xdr:col>
      <xdr:colOff>342900</xdr:colOff>
      <xdr:row>18</xdr:row>
      <xdr:rowOff>76200</xdr:rowOff>
    </xdr:to>
    <xdr:sp>
      <xdr:nvSpPr>
        <xdr:cNvPr id="10" name="Oval 11"/>
        <xdr:cNvSpPr>
          <a:spLocks/>
        </xdr:cNvSpPr>
      </xdr:nvSpPr>
      <xdr:spPr>
        <a:xfrm>
          <a:off x="4867275" y="2638425"/>
          <a:ext cx="352425" cy="3524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16</xdr:row>
      <xdr:rowOff>47625</xdr:rowOff>
    </xdr:from>
    <xdr:to>
      <xdr:col>8</xdr:col>
      <xdr:colOff>228600</xdr:colOff>
      <xdr:row>17</xdr:row>
      <xdr:rowOff>76200</xdr:rowOff>
    </xdr:to>
    <xdr:sp>
      <xdr:nvSpPr>
        <xdr:cNvPr id="11" name="Rectangle 12"/>
        <xdr:cNvSpPr>
          <a:spLocks/>
        </xdr:cNvSpPr>
      </xdr:nvSpPr>
      <xdr:spPr>
        <a:xfrm>
          <a:off x="4695825" y="2638425"/>
          <a:ext cx="409575"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228600</xdr:colOff>
      <xdr:row>51</xdr:row>
      <xdr:rowOff>19050</xdr:rowOff>
    </xdr:from>
    <xdr:to>
      <xdr:col>4</xdr:col>
      <xdr:colOff>95250</xdr:colOff>
      <xdr:row>56</xdr:row>
      <xdr:rowOff>123825</xdr:rowOff>
    </xdr:to>
    <xdr:pic>
      <xdr:nvPicPr>
        <xdr:cNvPr id="12" name="Picture 21" descr="rectangle volume"/>
        <xdr:cNvPicPr preferRelativeResize="1">
          <a:picLocks noChangeAspect="1"/>
        </xdr:cNvPicPr>
      </xdr:nvPicPr>
      <xdr:blipFill>
        <a:blip r:embed="rId1"/>
        <a:stretch>
          <a:fillRect/>
        </a:stretch>
      </xdr:blipFill>
      <xdr:spPr>
        <a:xfrm>
          <a:off x="1447800" y="8277225"/>
          <a:ext cx="1085850" cy="914400"/>
        </a:xfrm>
        <a:prstGeom prst="rect">
          <a:avLst/>
        </a:prstGeom>
        <a:noFill/>
        <a:ln w="9525" cmpd="sng">
          <a:noFill/>
        </a:ln>
      </xdr:spPr>
    </xdr:pic>
    <xdr:clientData/>
  </xdr:twoCellAnchor>
  <xdr:twoCellAnchor>
    <xdr:from>
      <xdr:col>10</xdr:col>
      <xdr:colOff>104775</xdr:colOff>
      <xdr:row>16</xdr:row>
      <xdr:rowOff>47625</xdr:rowOff>
    </xdr:from>
    <xdr:to>
      <xdr:col>10</xdr:col>
      <xdr:colOff>438150</xdr:colOff>
      <xdr:row>18</xdr:row>
      <xdr:rowOff>28575</xdr:rowOff>
    </xdr:to>
    <xdr:sp>
      <xdr:nvSpPr>
        <xdr:cNvPr id="13" name="Oval 22"/>
        <xdr:cNvSpPr>
          <a:spLocks/>
        </xdr:cNvSpPr>
      </xdr:nvSpPr>
      <xdr:spPr>
        <a:xfrm>
          <a:off x="6200775" y="2638425"/>
          <a:ext cx="333375" cy="3048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16</xdr:row>
      <xdr:rowOff>47625</xdr:rowOff>
    </xdr:from>
    <xdr:to>
      <xdr:col>10</xdr:col>
      <xdr:colOff>571500</xdr:colOff>
      <xdr:row>17</xdr:row>
      <xdr:rowOff>66675</xdr:rowOff>
    </xdr:to>
    <xdr:sp>
      <xdr:nvSpPr>
        <xdr:cNvPr id="14" name="Rectangle 23"/>
        <xdr:cNvSpPr>
          <a:spLocks/>
        </xdr:cNvSpPr>
      </xdr:nvSpPr>
      <xdr:spPr>
        <a:xfrm>
          <a:off x="6305550" y="2638425"/>
          <a:ext cx="361950" cy="1809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485775</xdr:colOff>
      <xdr:row>4</xdr:row>
      <xdr:rowOff>19050</xdr:rowOff>
    </xdr:to>
    <xdr:pic>
      <xdr:nvPicPr>
        <xdr:cNvPr id="15" name="Picture 15" descr="Indigo Logo.jpg"/>
        <xdr:cNvPicPr preferRelativeResize="1">
          <a:picLocks noChangeAspect="1"/>
        </xdr:cNvPicPr>
      </xdr:nvPicPr>
      <xdr:blipFill>
        <a:blip r:embed="rId2"/>
        <a:stretch>
          <a:fillRect/>
        </a:stretch>
      </xdr:blipFill>
      <xdr:spPr>
        <a:xfrm>
          <a:off x="0" y="0"/>
          <a:ext cx="1704975"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9</xdr:row>
      <xdr:rowOff>9525</xdr:rowOff>
    </xdr:from>
    <xdr:to>
      <xdr:col>3</xdr:col>
      <xdr:colOff>228600</xdr:colOff>
      <xdr:row>9</xdr:row>
      <xdr:rowOff>9525</xdr:rowOff>
    </xdr:to>
    <xdr:sp>
      <xdr:nvSpPr>
        <xdr:cNvPr id="1" name="Line 1"/>
        <xdr:cNvSpPr>
          <a:spLocks/>
        </xdr:cNvSpPr>
      </xdr:nvSpPr>
      <xdr:spPr>
        <a:xfrm>
          <a:off x="228600" y="1466850"/>
          <a:ext cx="1504950"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7</xdr:row>
      <xdr:rowOff>0</xdr:rowOff>
    </xdr:from>
    <xdr:to>
      <xdr:col>6</xdr:col>
      <xdr:colOff>542925</xdr:colOff>
      <xdr:row>12</xdr:row>
      <xdr:rowOff>152400</xdr:rowOff>
    </xdr:to>
    <xdr:sp>
      <xdr:nvSpPr>
        <xdr:cNvPr id="2" name="Rectangle 2"/>
        <xdr:cNvSpPr>
          <a:spLocks/>
        </xdr:cNvSpPr>
      </xdr:nvSpPr>
      <xdr:spPr>
        <a:xfrm>
          <a:off x="1752600" y="1133475"/>
          <a:ext cx="1952625" cy="962025"/>
        </a:xfrm>
        <a:prstGeom prst="rect">
          <a:avLst/>
        </a:prstGeom>
        <a:solidFill>
          <a:srgbClr val="9933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9</xdr:row>
      <xdr:rowOff>0</xdr:rowOff>
    </xdr:from>
    <xdr:to>
      <xdr:col>8</xdr:col>
      <xdr:colOff>428625</xdr:colOff>
      <xdr:row>9</xdr:row>
      <xdr:rowOff>0</xdr:rowOff>
    </xdr:to>
    <xdr:sp>
      <xdr:nvSpPr>
        <xdr:cNvPr id="3" name="Line 3"/>
        <xdr:cNvSpPr>
          <a:spLocks/>
        </xdr:cNvSpPr>
      </xdr:nvSpPr>
      <xdr:spPr>
        <a:xfrm>
          <a:off x="3705225" y="1457325"/>
          <a:ext cx="1428750"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7</xdr:row>
      <xdr:rowOff>19050</xdr:rowOff>
    </xdr:from>
    <xdr:to>
      <xdr:col>11</xdr:col>
      <xdr:colOff>457200</xdr:colOff>
      <xdr:row>14</xdr:row>
      <xdr:rowOff>38100</xdr:rowOff>
    </xdr:to>
    <xdr:sp>
      <xdr:nvSpPr>
        <xdr:cNvPr id="4" name="AutoShape 4"/>
        <xdr:cNvSpPr>
          <a:spLocks/>
        </xdr:cNvSpPr>
      </xdr:nvSpPr>
      <xdr:spPr>
        <a:xfrm rot="10800000">
          <a:off x="4962525" y="1152525"/>
          <a:ext cx="1676400" cy="1152525"/>
        </a:xfrm>
        <a:prstGeom prst="triangle">
          <a:avLst/>
        </a:prstGeom>
        <a:gradFill rotWithShape="1">
          <a:gsLst>
            <a:gs pos="0">
              <a:srgbClr val="993300"/>
            </a:gs>
            <a:gs pos="100000">
              <a:srgbClr val="4617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9</xdr:row>
      <xdr:rowOff>9525</xdr:rowOff>
    </xdr:from>
    <xdr:to>
      <xdr:col>14</xdr:col>
      <xdr:colOff>171450</xdr:colOff>
      <xdr:row>9</xdr:row>
      <xdr:rowOff>9525</xdr:rowOff>
    </xdr:to>
    <xdr:sp>
      <xdr:nvSpPr>
        <xdr:cNvPr id="5" name="Line 5"/>
        <xdr:cNvSpPr>
          <a:spLocks/>
        </xdr:cNvSpPr>
      </xdr:nvSpPr>
      <xdr:spPr>
        <a:xfrm>
          <a:off x="6467475" y="1466850"/>
          <a:ext cx="1095375"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14</xdr:row>
      <xdr:rowOff>47625</xdr:rowOff>
    </xdr:from>
    <xdr:to>
      <xdr:col>9</xdr:col>
      <xdr:colOff>485775</xdr:colOff>
      <xdr:row>17</xdr:row>
      <xdr:rowOff>9525</xdr:rowOff>
    </xdr:to>
    <xdr:sp>
      <xdr:nvSpPr>
        <xdr:cNvPr id="6" name="Line 6"/>
        <xdr:cNvSpPr>
          <a:spLocks/>
        </xdr:cNvSpPr>
      </xdr:nvSpPr>
      <xdr:spPr>
        <a:xfrm>
          <a:off x="5800725" y="2314575"/>
          <a:ext cx="0" cy="447675"/>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17</xdr:row>
      <xdr:rowOff>0</xdr:rowOff>
    </xdr:from>
    <xdr:to>
      <xdr:col>15</xdr:col>
      <xdr:colOff>95250</xdr:colOff>
      <xdr:row>17</xdr:row>
      <xdr:rowOff>0</xdr:rowOff>
    </xdr:to>
    <xdr:sp>
      <xdr:nvSpPr>
        <xdr:cNvPr id="7" name="Line 7"/>
        <xdr:cNvSpPr>
          <a:spLocks/>
        </xdr:cNvSpPr>
      </xdr:nvSpPr>
      <xdr:spPr>
        <a:xfrm>
          <a:off x="5905500" y="2752725"/>
          <a:ext cx="2190750" cy="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17</xdr:row>
      <xdr:rowOff>0</xdr:rowOff>
    </xdr:from>
    <xdr:to>
      <xdr:col>10</xdr:col>
      <xdr:colOff>66675</xdr:colOff>
      <xdr:row>17</xdr:row>
      <xdr:rowOff>0</xdr:rowOff>
    </xdr:to>
    <xdr:sp>
      <xdr:nvSpPr>
        <xdr:cNvPr id="8" name="Line 8"/>
        <xdr:cNvSpPr>
          <a:spLocks/>
        </xdr:cNvSpPr>
      </xdr:nvSpPr>
      <xdr:spPr>
        <a:xfrm>
          <a:off x="1238250" y="2752725"/>
          <a:ext cx="4752975" cy="0"/>
        </a:xfrm>
        <a:prstGeom prst="line">
          <a:avLst/>
        </a:prstGeom>
        <a:noFill/>
        <a:ln w="476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9</xdr:row>
      <xdr:rowOff>57150</xdr:rowOff>
    </xdr:from>
    <xdr:to>
      <xdr:col>2</xdr:col>
      <xdr:colOff>333375</xdr:colOff>
      <xdr:row>17</xdr:row>
      <xdr:rowOff>19050</xdr:rowOff>
    </xdr:to>
    <xdr:sp>
      <xdr:nvSpPr>
        <xdr:cNvPr id="9" name="Line 9"/>
        <xdr:cNvSpPr>
          <a:spLocks/>
        </xdr:cNvSpPr>
      </xdr:nvSpPr>
      <xdr:spPr>
        <a:xfrm flipV="1">
          <a:off x="1228725" y="1514475"/>
          <a:ext cx="0" cy="1257300"/>
        </a:xfrm>
        <a:prstGeom prst="line">
          <a:avLst/>
        </a:prstGeom>
        <a:noFill/>
        <a:ln w="476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628650</xdr:colOff>
      <xdr:row>16</xdr:row>
      <xdr:rowOff>47625</xdr:rowOff>
    </xdr:from>
    <xdr:to>
      <xdr:col>8</xdr:col>
      <xdr:colOff>104775</xdr:colOff>
      <xdr:row>18</xdr:row>
      <xdr:rowOff>76200</xdr:rowOff>
    </xdr:to>
    <xdr:sp>
      <xdr:nvSpPr>
        <xdr:cNvPr id="10" name="Oval 10"/>
        <xdr:cNvSpPr>
          <a:spLocks/>
        </xdr:cNvSpPr>
      </xdr:nvSpPr>
      <xdr:spPr>
        <a:xfrm>
          <a:off x="4400550" y="2638425"/>
          <a:ext cx="409575" cy="3524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16</xdr:row>
      <xdr:rowOff>47625</xdr:rowOff>
    </xdr:from>
    <xdr:to>
      <xdr:col>7</xdr:col>
      <xdr:colOff>914400</xdr:colOff>
      <xdr:row>17</xdr:row>
      <xdr:rowOff>76200</xdr:rowOff>
    </xdr:to>
    <xdr:sp>
      <xdr:nvSpPr>
        <xdr:cNvPr id="11" name="Rectangle 11"/>
        <xdr:cNvSpPr>
          <a:spLocks/>
        </xdr:cNvSpPr>
      </xdr:nvSpPr>
      <xdr:spPr>
        <a:xfrm>
          <a:off x="4257675" y="2638425"/>
          <a:ext cx="428625" cy="1905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16</xdr:row>
      <xdr:rowOff>47625</xdr:rowOff>
    </xdr:from>
    <xdr:to>
      <xdr:col>11</xdr:col>
      <xdr:colOff>409575</xdr:colOff>
      <xdr:row>18</xdr:row>
      <xdr:rowOff>66675</xdr:rowOff>
    </xdr:to>
    <xdr:sp>
      <xdr:nvSpPr>
        <xdr:cNvPr id="12" name="Oval 17"/>
        <xdr:cNvSpPr>
          <a:spLocks/>
        </xdr:cNvSpPr>
      </xdr:nvSpPr>
      <xdr:spPr>
        <a:xfrm>
          <a:off x="6210300" y="2638425"/>
          <a:ext cx="381000" cy="3429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16</xdr:row>
      <xdr:rowOff>47625</xdr:rowOff>
    </xdr:from>
    <xdr:to>
      <xdr:col>11</xdr:col>
      <xdr:colOff>552450</xdr:colOff>
      <xdr:row>17</xdr:row>
      <xdr:rowOff>85725</xdr:rowOff>
    </xdr:to>
    <xdr:sp>
      <xdr:nvSpPr>
        <xdr:cNvPr id="13" name="Rectangle 18"/>
        <xdr:cNvSpPr>
          <a:spLocks/>
        </xdr:cNvSpPr>
      </xdr:nvSpPr>
      <xdr:spPr>
        <a:xfrm>
          <a:off x="6400800" y="2638425"/>
          <a:ext cx="333375" cy="2000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3</xdr:col>
      <xdr:colOff>180975</xdr:colOff>
      <xdr:row>4</xdr:row>
      <xdr:rowOff>19050</xdr:rowOff>
    </xdr:to>
    <xdr:pic>
      <xdr:nvPicPr>
        <xdr:cNvPr id="14" name="Picture 14" descr="Indigo Logo.jpg"/>
        <xdr:cNvPicPr preferRelativeResize="1">
          <a:picLocks noChangeAspect="1"/>
        </xdr:cNvPicPr>
      </xdr:nvPicPr>
      <xdr:blipFill>
        <a:blip r:embed="rId1"/>
        <a:stretch>
          <a:fillRect/>
        </a:stretch>
      </xdr:blipFill>
      <xdr:spPr>
        <a:xfrm>
          <a:off x="0" y="0"/>
          <a:ext cx="16859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4.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5.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123"/>
  <sheetViews>
    <sheetView tabSelected="1" zoomScalePageLayoutView="0" workbookViewId="0" topLeftCell="A1">
      <selection activeCell="C5" sqref="C5"/>
    </sheetView>
  </sheetViews>
  <sheetFormatPr defaultColWidth="9.140625" defaultRowHeight="12.75"/>
  <cols>
    <col min="1" max="1" width="13.7109375" style="1" customWidth="1"/>
    <col min="2" max="2" width="4.421875" style="1" customWidth="1"/>
    <col min="3" max="16384" width="9.140625" style="1" customWidth="1"/>
  </cols>
  <sheetData>
    <row r="1" ht="12.75"/>
    <row r="2" ht="12.75">
      <c r="D2" s="108" t="s">
        <v>215</v>
      </c>
    </row>
    <row r="3" ht="12.75">
      <c r="D3" s="108" t="s">
        <v>219</v>
      </c>
    </row>
    <row r="4" ht="12.75"/>
    <row r="5" ht="12.75"/>
    <row r="6" ht="12.75">
      <c r="A6" s="1" t="s">
        <v>188</v>
      </c>
    </row>
    <row r="7" ht="12.75">
      <c r="A7" s="4" t="s">
        <v>189</v>
      </c>
    </row>
    <row r="8" ht="12.75">
      <c r="A8" s="107" t="s">
        <v>214</v>
      </c>
    </row>
    <row r="11" spans="1:12" ht="12.75">
      <c r="A11" s="4" t="s">
        <v>190</v>
      </c>
      <c r="C11" s="1" t="s">
        <v>191</v>
      </c>
      <c r="D11" s="5">
        <v>50</v>
      </c>
      <c r="E11" s="1" t="s">
        <v>10</v>
      </c>
      <c r="F11" s="1" t="s">
        <v>198</v>
      </c>
      <c r="G11" s="5">
        <v>3</v>
      </c>
      <c r="H11" s="1" t="s">
        <v>24</v>
      </c>
      <c r="I11" s="142" t="s">
        <v>168</v>
      </c>
      <c r="J11" s="142"/>
      <c r="K11" s="142"/>
      <c r="L11" s="142"/>
    </row>
    <row r="12" spans="3:12" ht="12.75">
      <c r="C12" s="1" t="s">
        <v>192</v>
      </c>
      <c r="D12" s="5">
        <v>8</v>
      </c>
      <c r="E12" s="1" t="s">
        <v>10</v>
      </c>
      <c r="F12" s="1" t="s">
        <v>199</v>
      </c>
      <c r="G12" s="3">
        <f>ROUND(D11*D12,1)</f>
        <v>400</v>
      </c>
      <c r="H12" s="1" t="s">
        <v>166</v>
      </c>
      <c r="I12" s="142"/>
      <c r="J12" s="142"/>
      <c r="K12" s="142"/>
      <c r="L12" s="142"/>
    </row>
    <row r="13" spans="3:8" ht="12.75">
      <c r="C13" s="1" t="s">
        <v>193</v>
      </c>
      <c r="D13" s="5">
        <v>10</v>
      </c>
      <c r="E13" s="1" t="s">
        <v>10</v>
      </c>
      <c r="F13" s="1" t="s">
        <v>194</v>
      </c>
      <c r="G13" s="3">
        <f>ROUND(D11*D12*D13,1)</f>
        <v>4000</v>
      </c>
      <c r="H13" s="1" t="s">
        <v>195</v>
      </c>
    </row>
    <row r="14" spans="3:8" ht="12.75">
      <c r="C14" s="1" t="s">
        <v>211</v>
      </c>
      <c r="D14" s="41">
        <f>D11*2+D12*2</f>
        <v>116</v>
      </c>
      <c r="E14" s="1" t="s">
        <v>10</v>
      </c>
      <c r="F14" s="1" t="s">
        <v>194</v>
      </c>
      <c r="G14" s="3">
        <f>ROUNDUP(G13*7.48,0)</f>
        <v>29920</v>
      </c>
      <c r="H14" s="1" t="s">
        <v>196</v>
      </c>
    </row>
    <row r="15" ht="12.75">
      <c r="D15" s="12"/>
    </row>
    <row r="16" spans="1:9" ht="12.75">
      <c r="A16" s="1" t="s">
        <v>197</v>
      </c>
      <c r="C16" s="124" t="str">
        <f>CONCATENATE("A clearwell is ",D11," feet long by ",D12," feet wide by ",D13," feet deep.  What is the volume of the clearwell in cubic feet?")</f>
        <v>A clearwell is 50 feet long by 8 feet wide by 10 feet deep.  What is the volume of the clearwell in cubic feet?</v>
      </c>
      <c r="D16" s="125"/>
      <c r="E16" s="125"/>
      <c r="F16" s="125"/>
      <c r="G16" s="125"/>
      <c r="H16" s="125"/>
      <c r="I16" s="126"/>
    </row>
    <row r="17" spans="3:9" ht="12.75">
      <c r="C17" s="130"/>
      <c r="D17" s="131"/>
      <c r="E17" s="131"/>
      <c r="F17" s="131"/>
      <c r="G17" s="131"/>
      <c r="H17" s="131"/>
      <c r="I17" s="132"/>
    </row>
    <row r="19" spans="3:5" ht="12.75">
      <c r="C19" s="1" t="s">
        <v>41</v>
      </c>
      <c r="D19" s="92">
        <f>G13</f>
        <v>4000</v>
      </c>
      <c r="E19" s="1" t="s">
        <v>195</v>
      </c>
    </row>
    <row r="21" spans="1:9" ht="12.75">
      <c r="A21" s="1" t="s">
        <v>42</v>
      </c>
      <c r="C21" s="124" t="str">
        <f>CONCATENATE("A sedimentation basin has a surface area of ",G12," sft. If the basin can hold a maximum of ",G13," cubic feet of water, how deep is the basin?")</f>
        <v>A sedimentation basin has a surface area of 400 sft. If the basin can hold a maximum of 4000 cubic feet of water, how deep is the basin?</v>
      </c>
      <c r="D21" s="125"/>
      <c r="E21" s="125"/>
      <c r="F21" s="125"/>
      <c r="G21" s="125"/>
      <c r="H21" s="125"/>
      <c r="I21" s="126"/>
    </row>
    <row r="22" spans="3:9" ht="12.75">
      <c r="C22" s="130"/>
      <c r="D22" s="131"/>
      <c r="E22" s="131"/>
      <c r="F22" s="131"/>
      <c r="G22" s="131"/>
      <c r="H22" s="131"/>
      <c r="I22" s="132"/>
    </row>
    <row r="24" spans="3:7" ht="12.75">
      <c r="C24" s="1" t="s">
        <v>41</v>
      </c>
      <c r="D24" s="92">
        <f>D13</f>
        <v>10</v>
      </c>
      <c r="E24" s="1" t="s">
        <v>10</v>
      </c>
      <c r="G24" s="1" t="s">
        <v>13</v>
      </c>
    </row>
    <row r="26" spans="1:9" ht="12.75">
      <c r="A26" s="1" t="s">
        <v>46</v>
      </c>
      <c r="C26" s="124" t="str">
        <f>CONCATENATE("A water storage tank currenty holds ",G14," gallons.  If the water depth in the tank is ",D13," feet, what is the area of the tank is square feet?")</f>
        <v>A water storage tank currenty holds 29920 gallons.  If the water depth in the tank is 10 feet, what is the area of the tank is square feet?</v>
      </c>
      <c r="D26" s="125"/>
      <c r="E26" s="125"/>
      <c r="F26" s="125"/>
      <c r="G26" s="125"/>
      <c r="H26" s="125"/>
      <c r="I26" s="126"/>
    </row>
    <row r="27" spans="3:9" ht="12.75">
      <c r="C27" s="130"/>
      <c r="D27" s="131"/>
      <c r="E27" s="131"/>
      <c r="F27" s="131"/>
      <c r="G27" s="131"/>
      <c r="H27" s="131"/>
      <c r="I27" s="132"/>
    </row>
    <row r="29" spans="3:5" ht="12.75">
      <c r="C29" s="1" t="s">
        <v>41</v>
      </c>
      <c r="D29" s="92">
        <f>G12</f>
        <v>400</v>
      </c>
      <c r="E29" s="1" t="s">
        <v>10</v>
      </c>
    </row>
    <row r="31" spans="1:9" ht="12.75">
      <c r="A31" s="1" t="s">
        <v>48</v>
      </c>
      <c r="C31" s="124" t="str">
        <f>CONCATENATE("A clearwell is ",D11," feet long by ",D12," feet wide by ",D13," feet deep.  What is the volume of the clearwell in gallons?")</f>
        <v>A clearwell is 50 feet long by 8 feet wide by 10 feet deep.  What is the volume of the clearwell in gallons?</v>
      </c>
      <c r="D31" s="125"/>
      <c r="E31" s="125"/>
      <c r="F31" s="125"/>
      <c r="G31" s="125"/>
      <c r="H31" s="125"/>
      <c r="I31" s="126"/>
    </row>
    <row r="32" spans="3:9" ht="12.75">
      <c r="C32" s="130"/>
      <c r="D32" s="131"/>
      <c r="E32" s="131"/>
      <c r="F32" s="131"/>
      <c r="G32" s="131"/>
      <c r="H32" s="131"/>
      <c r="I32" s="132"/>
    </row>
    <row r="34" spans="3:5" ht="12.75">
      <c r="C34" s="1" t="s">
        <v>41</v>
      </c>
      <c r="D34" s="92">
        <f>G14</f>
        <v>29920</v>
      </c>
      <c r="E34" s="1" t="s">
        <v>21</v>
      </c>
    </row>
    <row r="36" spans="1:9" ht="12.75">
      <c r="A36" s="1" t="s">
        <v>49</v>
      </c>
      <c r="C36" s="124" t="str">
        <f>CONCATENATE("The distribution system has ",G11," storage tanks.  Each tank is ",D11," feet long by ",D12," feet long by ",D13," feet deep.  What is the maximum storage volume of the distribution system in gallons?")</f>
        <v>The distribution system has 3 storage tanks.  Each tank is 50 feet long by 8 feet long by 10 feet deep.  What is the maximum storage volume of the distribution system in gallons?</v>
      </c>
      <c r="D36" s="125"/>
      <c r="E36" s="125"/>
      <c r="F36" s="125"/>
      <c r="G36" s="125"/>
      <c r="H36" s="125"/>
      <c r="I36" s="126"/>
    </row>
    <row r="37" spans="3:9" ht="12.75">
      <c r="C37" s="127"/>
      <c r="D37" s="128"/>
      <c r="E37" s="128"/>
      <c r="F37" s="128"/>
      <c r="G37" s="128"/>
      <c r="H37" s="128"/>
      <c r="I37" s="129"/>
    </row>
    <row r="38" spans="3:9" ht="12.75">
      <c r="C38" s="139"/>
      <c r="D38" s="140"/>
      <c r="E38" s="140"/>
      <c r="F38" s="140"/>
      <c r="G38" s="140"/>
      <c r="H38" s="140"/>
      <c r="I38" s="141"/>
    </row>
    <row r="40" spans="3:5" ht="12.75">
      <c r="C40" s="1" t="s">
        <v>41</v>
      </c>
      <c r="D40" s="92">
        <f>(G11*G14)</f>
        <v>89760</v>
      </c>
      <c r="E40" s="1" t="s">
        <v>21</v>
      </c>
    </row>
    <row r="41" ht="12.75">
      <c r="D41" s="92"/>
    </row>
    <row r="42" spans="1:9" ht="12.75">
      <c r="A42" s="1" t="s">
        <v>52</v>
      </c>
      <c r="C42" s="124" t="str">
        <f>CONCATENATE("A sedimentation basin is ",D11," feet long by ",D12," feet wide by ",D13," feet deep.  Find the perimeter of the basin in feet.")</f>
        <v>A sedimentation basin is 50 feet long by 8 feet wide by 10 feet deep.  Find the perimeter of the basin in feet.</v>
      </c>
      <c r="D42" s="125"/>
      <c r="E42" s="125"/>
      <c r="F42" s="125"/>
      <c r="G42" s="125"/>
      <c r="H42" s="125"/>
      <c r="I42" s="126"/>
    </row>
    <row r="43" spans="3:9" ht="12.75">
      <c r="C43" s="130"/>
      <c r="D43" s="131"/>
      <c r="E43" s="131"/>
      <c r="F43" s="131"/>
      <c r="G43" s="131"/>
      <c r="H43" s="131"/>
      <c r="I43" s="132"/>
    </row>
    <row r="44" ht="12.75">
      <c r="D44" s="92"/>
    </row>
    <row r="45" spans="3:5" ht="12.75">
      <c r="C45" s="1" t="s">
        <v>41</v>
      </c>
      <c r="D45" s="92">
        <f>D14</f>
        <v>116</v>
      </c>
      <c r="E45" s="1" t="s">
        <v>124</v>
      </c>
    </row>
    <row r="46" ht="12.75">
      <c r="D46" s="92"/>
    </row>
    <row r="47" spans="1:9" ht="12.75">
      <c r="A47" s="1" t="s">
        <v>167</v>
      </c>
      <c r="C47" s="124" t="str">
        <f>CONCATENATE("The inside walls and bottom of a concrete tank must be painted.  The floor of the tank is ",D11," feet long by ",D12," feet wide.  If the tank is ",D13," feet deep, how many square feet of area require painting?")</f>
        <v>The inside walls and bottom of a concrete tank must be painted.  The floor of the tank is 50 feet long by 8 feet wide.  If the tank is 10 feet deep, how many square feet of area require painting?</v>
      </c>
      <c r="D47" s="125"/>
      <c r="E47" s="125"/>
      <c r="F47" s="125"/>
      <c r="G47" s="125"/>
      <c r="H47" s="125"/>
      <c r="I47" s="126"/>
    </row>
    <row r="48" spans="3:9" ht="12.75">
      <c r="C48" s="127"/>
      <c r="D48" s="128"/>
      <c r="E48" s="128"/>
      <c r="F48" s="128"/>
      <c r="G48" s="128"/>
      <c r="H48" s="128"/>
      <c r="I48" s="129"/>
    </row>
    <row r="49" spans="3:9" ht="12.75">
      <c r="C49" s="130"/>
      <c r="D49" s="131"/>
      <c r="E49" s="131"/>
      <c r="F49" s="131"/>
      <c r="G49" s="131"/>
      <c r="H49" s="131"/>
      <c r="I49" s="132"/>
    </row>
    <row r="50" ht="12.75">
      <c r="D50" s="92"/>
    </row>
    <row r="51" spans="3:5" ht="12.75">
      <c r="C51" s="1" t="s">
        <v>41</v>
      </c>
      <c r="D51" s="92">
        <f>ROUNDUP((D11*D12)+(2*D11*D13)+(2*D12*D13),0)</f>
        <v>1560</v>
      </c>
      <c r="E51" s="1" t="s">
        <v>183</v>
      </c>
    </row>
    <row r="53" ht="12.75">
      <c r="A53" s="104" t="s">
        <v>200</v>
      </c>
    </row>
    <row r="54" spans="1:9" ht="12.75">
      <c r="A54" s="4" t="s">
        <v>202</v>
      </c>
      <c r="C54" s="1" t="s">
        <v>79</v>
      </c>
      <c r="D54" s="3">
        <f>ROUND(D55/12,1)</f>
        <v>2</v>
      </c>
      <c r="E54" s="1" t="s">
        <v>124</v>
      </c>
      <c r="G54" s="1" t="s">
        <v>165</v>
      </c>
      <c r="H54" s="3">
        <f>ROUND(PI()*D56^2,3)</f>
        <v>3.142</v>
      </c>
      <c r="I54" s="1" t="s">
        <v>166</v>
      </c>
    </row>
    <row r="55" spans="3:9" ht="12.75">
      <c r="C55" s="1" t="s">
        <v>79</v>
      </c>
      <c r="D55" s="105">
        <v>24</v>
      </c>
      <c r="E55" s="1" t="s">
        <v>151</v>
      </c>
      <c r="G55" s="1" t="s">
        <v>19</v>
      </c>
      <c r="H55" s="3">
        <f>ROUND(H54*D58,2)</f>
        <v>942.6</v>
      </c>
      <c r="I55" s="1" t="s">
        <v>195</v>
      </c>
    </row>
    <row r="56" spans="3:9" ht="12.75">
      <c r="C56" s="1" t="s">
        <v>201</v>
      </c>
      <c r="D56" s="3">
        <f>ROUND(D57/12,2)</f>
        <v>1</v>
      </c>
      <c r="E56" s="1" t="s">
        <v>124</v>
      </c>
      <c r="G56" s="1" t="s">
        <v>19</v>
      </c>
      <c r="H56" s="3">
        <f>ROUND(H55*7.48,1)</f>
        <v>7050.6</v>
      </c>
      <c r="I56" s="1" t="s">
        <v>21</v>
      </c>
    </row>
    <row r="57" spans="3:9" ht="12.75">
      <c r="C57" s="1" t="s">
        <v>201</v>
      </c>
      <c r="D57" s="106">
        <f>D55/2</f>
        <v>12</v>
      </c>
      <c r="E57" s="1" t="s">
        <v>151</v>
      </c>
      <c r="G57" s="1" t="s">
        <v>212</v>
      </c>
      <c r="H57" s="3">
        <f>ROUND(PI()*D54,2)</f>
        <v>6.28</v>
      </c>
      <c r="I57" s="1" t="s">
        <v>124</v>
      </c>
    </row>
    <row r="58" spans="3:13" ht="12.75">
      <c r="C58" s="2" t="s">
        <v>203</v>
      </c>
      <c r="D58" s="5">
        <v>300</v>
      </c>
      <c r="E58" s="1" t="s">
        <v>124</v>
      </c>
      <c r="G58" s="1" t="s">
        <v>204</v>
      </c>
      <c r="H58" s="5">
        <v>2</v>
      </c>
      <c r="I58" s="1" t="s">
        <v>24</v>
      </c>
      <c r="J58" s="142" t="s">
        <v>168</v>
      </c>
      <c r="K58" s="142"/>
      <c r="L58" s="142"/>
      <c r="M58" s="142"/>
    </row>
    <row r="59" spans="10:13" ht="12.75">
      <c r="J59" s="142"/>
      <c r="K59" s="142"/>
      <c r="L59" s="142"/>
      <c r="M59" s="142"/>
    </row>
    <row r="62" spans="1:9" ht="12.75">
      <c r="A62" s="1" t="s">
        <v>40</v>
      </c>
      <c r="C62" s="133" t="str">
        <f>CONCATENATE("Find the volume of a pipe that is ",D54," feet in diameter and ",D58," feet long.")</f>
        <v>Find the volume of a pipe that is 2 feet in diameter and 300 feet long.</v>
      </c>
      <c r="D62" s="134"/>
      <c r="E62" s="134"/>
      <c r="F62" s="134"/>
      <c r="G62" s="134"/>
      <c r="H62" s="134"/>
      <c r="I62" s="135"/>
    </row>
    <row r="63" spans="3:9" ht="12.75">
      <c r="C63" s="136"/>
      <c r="D63" s="137"/>
      <c r="E63" s="137"/>
      <c r="F63" s="137"/>
      <c r="G63" s="137"/>
      <c r="H63" s="137"/>
      <c r="I63" s="138"/>
    </row>
    <row r="65" spans="3:5" ht="12.75">
      <c r="C65" s="1" t="s">
        <v>41</v>
      </c>
      <c r="D65" s="92">
        <f>H55</f>
        <v>942.6</v>
      </c>
      <c r="E65" s="1" t="s">
        <v>195</v>
      </c>
    </row>
    <row r="67" spans="1:9" ht="12.75">
      <c r="A67" s="1" t="s">
        <v>42</v>
      </c>
      <c r="C67" s="124" t="str">
        <f>CONCATENATE("A water tank currently holds ",H56," gallons.  If the tank is filled to a depth of ",D58," feet, what is the diameter of the tank?")</f>
        <v>A water tank currently holds 7050.6 gallons.  If the tank is filled to a depth of 300 feet, what is the diameter of the tank?</v>
      </c>
      <c r="D67" s="125"/>
      <c r="E67" s="125"/>
      <c r="F67" s="125"/>
      <c r="G67" s="125"/>
      <c r="H67" s="125"/>
      <c r="I67" s="126"/>
    </row>
    <row r="68" spans="3:9" ht="12.75">
      <c r="C68" s="130"/>
      <c r="D68" s="131"/>
      <c r="E68" s="131"/>
      <c r="F68" s="131"/>
      <c r="G68" s="131"/>
      <c r="H68" s="131"/>
      <c r="I68" s="132"/>
    </row>
    <row r="70" spans="3:5" ht="12.75">
      <c r="C70" s="1" t="s">
        <v>41</v>
      </c>
      <c r="D70" s="92">
        <f>D54</f>
        <v>2</v>
      </c>
      <c r="E70" s="1" t="s">
        <v>124</v>
      </c>
    </row>
    <row r="72" spans="1:9" ht="12.75">
      <c r="A72" s="1" t="s">
        <v>46</v>
      </c>
      <c r="C72" s="133" t="str">
        <f>CONCATENATE("Find the length of ",D55,"-inch pipe required to hold ",H56," gallons.")</f>
        <v>Find the length of 24-inch pipe required to hold 7050.6 gallons.</v>
      </c>
      <c r="D72" s="134"/>
      <c r="E72" s="134"/>
      <c r="F72" s="134"/>
      <c r="G72" s="134"/>
      <c r="H72" s="134"/>
      <c r="I72" s="135"/>
    </row>
    <row r="73" spans="3:9" ht="12.75">
      <c r="C73" s="136"/>
      <c r="D73" s="137"/>
      <c r="E73" s="137"/>
      <c r="F73" s="137"/>
      <c r="G73" s="137"/>
      <c r="H73" s="137"/>
      <c r="I73" s="138"/>
    </row>
    <row r="75" spans="3:5" ht="12.75">
      <c r="C75" s="1" t="s">
        <v>41</v>
      </c>
      <c r="D75" s="92">
        <f>D58</f>
        <v>300</v>
      </c>
      <c r="E75" s="1" t="s">
        <v>124</v>
      </c>
    </row>
    <row r="77" spans="1:9" ht="12.75">
      <c r="A77" s="1" t="s">
        <v>48</v>
      </c>
      <c r="C77" s="124" t="str">
        <f>CONCATENATE("A round storage tank has a surface area of ",H54," square feet.  The tank holds ",H55," cubic feet of water.  What is the diameter of the tank?")</f>
        <v>A round storage tank has a surface area of 3.142 square feet.  The tank holds 942.6 cubic feet of water.  What is the diameter of the tank?</v>
      </c>
      <c r="D77" s="125"/>
      <c r="E77" s="125"/>
      <c r="F77" s="125"/>
      <c r="G77" s="125"/>
      <c r="H77" s="125"/>
      <c r="I77" s="126"/>
    </row>
    <row r="78" spans="3:9" ht="12.75">
      <c r="C78" s="130"/>
      <c r="D78" s="131"/>
      <c r="E78" s="131"/>
      <c r="F78" s="131"/>
      <c r="G78" s="131"/>
      <c r="H78" s="131"/>
      <c r="I78" s="132"/>
    </row>
    <row r="80" spans="3:5" ht="12.75">
      <c r="C80" s="1" t="s">
        <v>41</v>
      </c>
      <c r="D80" s="92">
        <f>D54</f>
        <v>2</v>
      </c>
      <c r="E80" s="1" t="s">
        <v>124</v>
      </c>
    </row>
    <row r="82" spans="1:9" ht="12.75">
      <c r="A82" s="1" t="s">
        <v>49</v>
      </c>
      <c r="C82" s="124" t="str">
        <f>CONCATENATE("The distribution system contains ",H58," large mains.  Each main is ",D58," feet long and ",D57," inches in diameter.  How much water can both mains hold?  Express your answer in gallons.")</f>
        <v>The distribution system contains 2 large mains.  Each main is 300 feet long and 12 inches in diameter.  How much water can both mains hold?  Express your answer in gallons.</v>
      </c>
      <c r="D82" s="125"/>
      <c r="E82" s="125"/>
      <c r="F82" s="125"/>
      <c r="G82" s="125"/>
      <c r="H82" s="125"/>
      <c r="I82" s="126"/>
    </row>
    <row r="83" spans="3:9" ht="12.75">
      <c r="C83" s="127"/>
      <c r="D83" s="128"/>
      <c r="E83" s="128"/>
      <c r="F83" s="128"/>
      <c r="G83" s="128"/>
      <c r="H83" s="128"/>
      <c r="I83" s="129"/>
    </row>
    <row r="84" spans="3:9" ht="12.75">
      <c r="C84" s="139"/>
      <c r="D84" s="140"/>
      <c r="E84" s="140"/>
      <c r="F84" s="140"/>
      <c r="G84" s="140"/>
      <c r="H84" s="140"/>
      <c r="I84" s="141"/>
    </row>
    <row r="86" spans="3:5" ht="12.75">
      <c r="C86" s="1" t="s">
        <v>41</v>
      </c>
      <c r="D86" s="92">
        <f>H58*H56</f>
        <v>14101.2</v>
      </c>
      <c r="E86" s="1" t="s">
        <v>21</v>
      </c>
    </row>
    <row r="87" ht="12.75">
      <c r="D87" s="92"/>
    </row>
    <row r="88" spans="1:9" ht="12.75">
      <c r="A88" s="1" t="s">
        <v>52</v>
      </c>
      <c r="C88" s="133" t="str">
        <f>CONCATENATE("Find the perimeter of a round sedimendation basin if the diameter is ",D54," feet.")</f>
        <v>Find the perimeter of a round sedimendation basin if the diameter is 2 feet.</v>
      </c>
      <c r="D88" s="134"/>
      <c r="E88" s="134"/>
      <c r="F88" s="134"/>
      <c r="G88" s="134"/>
      <c r="H88" s="134"/>
      <c r="I88" s="135"/>
    </row>
    <row r="89" spans="3:9" ht="12.75">
      <c r="C89" s="136"/>
      <c r="D89" s="137"/>
      <c r="E89" s="137"/>
      <c r="F89" s="137"/>
      <c r="G89" s="137"/>
      <c r="H89" s="137"/>
      <c r="I89" s="138"/>
    </row>
    <row r="90" ht="12.75">
      <c r="D90" s="92"/>
    </row>
    <row r="91" spans="3:5" ht="12.75">
      <c r="C91" s="1" t="s">
        <v>41</v>
      </c>
      <c r="D91" s="92">
        <f>H57</f>
        <v>6.28</v>
      </c>
      <c r="E91" s="1" t="s">
        <v>124</v>
      </c>
    </row>
    <row r="92" ht="12.75">
      <c r="D92" s="92"/>
    </row>
    <row r="93" spans="1:9" ht="12.75">
      <c r="A93" s="1" t="s">
        <v>167</v>
      </c>
      <c r="C93" s="124" t="str">
        <f>CONCATENATE("A tank must be painted on all of the inside surfaces.  The tank is round with an open top.  If the tank has a ",D56," foot radius, find the area to be painted in square feet.")</f>
        <v>A tank must be painted on all of the inside surfaces.  The tank is round with an open top.  If the tank has a 1 foot radius, find the area to be painted in square feet.</v>
      </c>
      <c r="D93" s="125"/>
      <c r="E93" s="125"/>
      <c r="F93" s="125"/>
      <c r="G93" s="125"/>
      <c r="H93" s="125"/>
      <c r="I93" s="126"/>
    </row>
    <row r="94" spans="3:9" ht="12.75">
      <c r="C94" s="127"/>
      <c r="D94" s="128"/>
      <c r="E94" s="128"/>
      <c r="F94" s="128"/>
      <c r="G94" s="128"/>
      <c r="H94" s="128"/>
      <c r="I94" s="129"/>
    </row>
    <row r="95" spans="3:9" ht="12.75">
      <c r="C95" s="130"/>
      <c r="D95" s="131"/>
      <c r="E95" s="131"/>
      <c r="F95" s="131"/>
      <c r="G95" s="131"/>
      <c r="H95" s="131"/>
      <c r="I95" s="132"/>
    </row>
    <row r="96" spans="3:9" ht="12.75">
      <c r="C96" s="10"/>
      <c r="D96" s="10"/>
      <c r="E96" s="10"/>
      <c r="F96" s="10"/>
      <c r="G96" s="10"/>
      <c r="H96" s="10"/>
      <c r="I96" s="10"/>
    </row>
    <row r="97" spans="3:5" ht="12.75">
      <c r="C97" s="1" t="s">
        <v>213</v>
      </c>
      <c r="D97" s="92">
        <f>ROUND(H54+(H57*D58),1)</f>
        <v>1887.1</v>
      </c>
      <c r="E97" s="1" t="s">
        <v>183</v>
      </c>
    </row>
    <row r="99" ht="12.75">
      <c r="A99" s="4" t="s">
        <v>205</v>
      </c>
    </row>
    <row r="101" spans="3:9" ht="12.75">
      <c r="C101" s="1" t="s">
        <v>79</v>
      </c>
      <c r="D101" s="5">
        <v>10</v>
      </c>
      <c r="E101" s="1" t="s">
        <v>124</v>
      </c>
      <c r="G101" s="2" t="s">
        <v>208</v>
      </c>
      <c r="H101" s="3">
        <f>ROUND(PI()*D102^2*D103,1)</f>
        <v>1178.1</v>
      </c>
      <c r="I101" s="1" t="s">
        <v>195</v>
      </c>
    </row>
    <row r="102" spans="3:9" ht="12.75">
      <c r="C102" s="1" t="s">
        <v>201</v>
      </c>
      <c r="D102" s="3">
        <f>D101/2</f>
        <v>5</v>
      </c>
      <c r="E102" s="1" t="s">
        <v>124</v>
      </c>
      <c r="G102" s="2"/>
      <c r="H102" s="3">
        <f>ROUND(H101*7.48,0)</f>
        <v>8812</v>
      </c>
      <c r="I102" s="1" t="s">
        <v>21</v>
      </c>
    </row>
    <row r="103" spans="3:9" ht="12.75">
      <c r="C103" s="2" t="s">
        <v>206</v>
      </c>
      <c r="D103" s="5">
        <v>15</v>
      </c>
      <c r="E103" s="1" t="s">
        <v>124</v>
      </c>
      <c r="G103" s="2" t="s">
        <v>209</v>
      </c>
      <c r="H103" s="3">
        <f>ROUND((PI()*(D102^2)*D104)/3,1)</f>
        <v>209.4</v>
      </c>
      <c r="I103" s="1" t="s">
        <v>195</v>
      </c>
    </row>
    <row r="104" spans="3:9" ht="12.75">
      <c r="C104" s="2" t="s">
        <v>207</v>
      </c>
      <c r="D104" s="5">
        <v>8</v>
      </c>
      <c r="E104" s="1" t="s">
        <v>124</v>
      </c>
      <c r="H104" s="3">
        <f>ROUND(H103*7.48,0)</f>
        <v>1566</v>
      </c>
      <c r="I104" s="1" t="s">
        <v>21</v>
      </c>
    </row>
    <row r="105" spans="7:9" ht="12.75">
      <c r="G105" s="2" t="s">
        <v>210</v>
      </c>
      <c r="H105" s="3">
        <f>H102+H104</f>
        <v>10378</v>
      </c>
      <c r="I105" s="1" t="s">
        <v>21</v>
      </c>
    </row>
    <row r="107" spans="1:9" ht="12.75">
      <c r="A107" s="1" t="s">
        <v>40</v>
      </c>
      <c r="C107" s="124" t="str">
        <f>CONCATENATE("A ",D101," foot diameter tank has a conical bottom.  The sidewater depth (top of cone to water surface level) is ",D103," feet.  The cone is ",D104," feet deep at its deepest point.  What is the volume of the cone in cubic feet?")</f>
        <v>A 10 foot diameter tank has a conical bottom.  The sidewater depth (top of cone to water surface level) is 15 feet.  The cone is 8 feet deep at its deepest point.  What is the volume of the cone in cubic feet?</v>
      </c>
      <c r="D107" s="125"/>
      <c r="E107" s="125"/>
      <c r="F107" s="125"/>
      <c r="G107" s="125"/>
      <c r="H107" s="125"/>
      <c r="I107" s="126"/>
    </row>
    <row r="108" spans="3:9" ht="12.75">
      <c r="C108" s="127"/>
      <c r="D108" s="128"/>
      <c r="E108" s="128"/>
      <c r="F108" s="128"/>
      <c r="G108" s="128"/>
      <c r="H108" s="128"/>
      <c r="I108" s="129"/>
    </row>
    <row r="109" spans="3:9" ht="12.75">
      <c r="C109" s="130"/>
      <c r="D109" s="131"/>
      <c r="E109" s="131"/>
      <c r="F109" s="131"/>
      <c r="G109" s="131"/>
      <c r="H109" s="131"/>
      <c r="I109" s="132"/>
    </row>
    <row r="111" spans="3:5" ht="12.75">
      <c r="C111" s="1" t="s">
        <v>41</v>
      </c>
      <c r="D111" s="92">
        <f>H103</f>
        <v>209.4</v>
      </c>
      <c r="E111" s="1" t="s">
        <v>195</v>
      </c>
    </row>
    <row r="113" spans="1:9" ht="12.75">
      <c r="A113" s="1" t="s">
        <v>42</v>
      </c>
      <c r="C113" s="124" t="str">
        <f>CONCATENATE("A ",D101," foot diameter tank has a conical bottom.  The sidewater depth (top of cone to water surface level) is ",D103," feet.  The cone is ",D104," feet deep at its deepest point.  How many gallons of water are in the tank?")</f>
        <v>A 10 foot diameter tank has a conical bottom.  The sidewater depth (top of cone to water surface level) is 15 feet.  The cone is 8 feet deep at its deepest point.  How many gallons of water are in the tank?</v>
      </c>
      <c r="D113" s="125"/>
      <c r="E113" s="125"/>
      <c r="F113" s="125"/>
      <c r="G113" s="125"/>
      <c r="H113" s="125"/>
      <c r="I113" s="126"/>
    </row>
    <row r="114" spans="3:9" ht="12.75">
      <c r="C114" s="127"/>
      <c r="D114" s="128"/>
      <c r="E114" s="128"/>
      <c r="F114" s="128"/>
      <c r="G114" s="128"/>
      <c r="H114" s="128"/>
      <c r="I114" s="129"/>
    </row>
    <row r="115" spans="3:9" ht="12.75">
      <c r="C115" s="130"/>
      <c r="D115" s="131"/>
      <c r="E115" s="131"/>
      <c r="F115" s="131"/>
      <c r="G115" s="131"/>
      <c r="H115" s="131"/>
      <c r="I115" s="132"/>
    </row>
    <row r="117" spans="3:5" ht="12.75">
      <c r="C117" s="1" t="s">
        <v>41</v>
      </c>
      <c r="D117" s="92">
        <f>H105</f>
        <v>10378</v>
      </c>
      <c r="E117" s="1" t="s">
        <v>21</v>
      </c>
    </row>
    <row r="119" spans="1:9" ht="12.75">
      <c r="A119" s="1" t="s">
        <v>46</v>
      </c>
      <c r="C119" s="124" t="str">
        <f>CONCATENATE("A round tank with a conical bottom holds",H105," gallons.  If the cone is ",D104," feet deep at its deepest point and the diameter of the tank is ",D101," feet, what is the depth of the main part of the tank?")</f>
        <v>A round tank with a conical bottom holds10378 gallons.  If the cone is 8 feet deep at its deepest point and the diameter of the tank is 10 feet, what is the depth of the main part of the tank?</v>
      </c>
      <c r="D119" s="125"/>
      <c r="E119" s="125"/>
      <c r="F119" s="125"/>
      <c r="G119" s="125"/>
      <c r="H119" s="125"/>
      <c r="I119" s="126"/>
    </row>
    <row r="120" spans="3:9" ht="12.75">
      <c r="C120" s="127"/>
      <c r="D120" s="128"/>
      <c r="E120" s="128"/>
      <c r="F120" s="128"/>
      <c r="G120" s="128"/>
      <c r="H120" s="128"/>
      <c r="I120" s="129"/>
    </row>
    <row r="121" spans="3:9" ht="12.75">
      <c r="C121" s="130"/>
      <c r="D121" s="131"/>
      <c r="E121" s="131"/>
      <c r="F121" s="131"/>
      <c r="G121" s="131"/>
      <c r="H121" s="131"/>
      <c r="I121" s="132"/>
    </row>
    <row r="123" spans="3:5" ht="12.75">
      <c r="C123" s="1" t="s">
        <v>41</v>
      </c>
      <c r="D123" s="92">
        <f>D103</f>
        <v>15</v>
      </c>
      <c r="E123" s="1" t="s">
        <v>124</v>
      </c>
    </row>
  </sheetData>
  <sheetProtection password="DDB7" sheet="1" objects="1" scenarios="1"/>
  <mergeCells count="19">
    <mergeCell ref="C82:I84"/>
    <mergeCell ref="I11:L12"/>
    <mergeCell ref="C31:I32"/>
    <mergeCell ref="J58:M59"/>
    <mergeCell ref="C62:I63"/>
    <mergeCell ref="C16:I17"/>
    <mergeCell ref="C21:I22"/>
    <mergeCell ref="C26:I27"/>
    <mergeCell ref="C36:I38"/>
    <mergeCell ref="C107:I109"/>
    <mergeCell ref="C113:I115"/>
    <mergeCell ref="C119:I121"/>
    <mergeCell ref="C42:I43"/>
    <mergeCell ref="C47:I49"/>
    <mergeCell ref="C88:I89"/>
    <mergeCell ref="C93:I95"/>
    <mergeCell ref="C67:I68"/>
    <mergeCell ref="C72:I73"/>
    <mergeCell ref="C77:I78"/>
  </mergeCells>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2:K98"/>
  <sheetViews>
    <sheetView zoomScalePageLayoutView="0" workbookViewId="0" topLeftCell="A1">
      <selection activeCell="D4" sqref="D4"/>
    </sheetView>
  </sheetViews>
  <sheetFormatPr defaultColWidth="9.140625" defaultRowHeight="12.75"/>
  <cols>
    <col min="1" max="1" width="13.8515625" style="1" customWidth="1"/>
    <col min="2" max="3" width="9.140625" style="1" customWidth="1"/>
    <col min="4" max="4" width="13.8515625" style="1" customWidth="1"/>
    <col min="5" max="6" width="9.140625" style="1" customWidth="1"/>
    <col min="7" max="7" width="11.57421875" style="1" customWidth="1"/>
    <col min="8" max="16384" width="9.140625" style="1" customWidth="1"/>
  </cols>
  <sheetData>
    <row r="1" ht="12.75"/>
    <row r="2" ht="12.75">
      <c r="D2" s="108" t="s">
        <v>215</v>
      </c>
    </row>
    <row r="3" ht="12.75">
      <c r="D3" s="108" t="s">
        <v>219</v>
      </c>
    </row>
    <row r="4" ht="12.75"/>
    <row r="5" ht="12.75"/>
    <row r="6" ht="12.75">
      <c r="A6" s="1" t="s">
        <v>30</v>
      </c>
    </row>
    <row r="7" ht="12.75">
      <c r="A7" s="4" t="s">
        <v>143</v>
      </c>
    </row>
    <row r="8" ht="12.75">
      <c r="A8" s="17"/>
    </row>
    <row r="9" ht="12.75"/>
    <row r="10" ht="12.75"/>
    <row r="11" ht="12.75"/>
    <row r="12" ht="12.75"/>
    <row r="13" ht="12.75"/>
    <row r="14" ht="12.75"/>
    <row r="15" ht="12.75"/>
    <row r="16" ht="12.75"/>
    <row r="17" ht="12.75"/>
    <row r="18" ht="12.75"/>
    <row r="19" ht="12.75"/>
    <row r="20" spans="1:8" ht="12.75">
      <c r="A20" s="1" t="s">
        <v>144</v>
      </c>
      <c r="B20" s="5">
        <v>600</v>
      </c>
      <c r="C20" s="1" t="s">
        <v>2</v>
      </c>
      <c r="E20" s="98" t="s">
        <v>154</v>
      </c>
      <c r="F20" s="99"/>
      <c r="G20" s="99"/>
      <c r="H20" s="100">
        <v>4</v>
      </c>
    </row>
    <row r="21" spans="1:8" ht="12.75">
      <c r="A21" s="1" t="s">
        <v>144</v>
      </c>
      <c r="B21" s="3">
        <f>ROUND(B20*1440/10^6,2)</f>
        <v>0.86</v>
      </c>
      <c r="C21" s="1" t="s">
        <v>15</v>
      </c>
      <c r="E21" s="101" t="s">
        <v>155</v>
      </c>
      <c r="F21" s="35"/>
      <c r="G21" s="35"/>
      <c r="H21" s="102">
        <v>2</v>
      </c>
    </row>
    <row r="22" spans="1:8" ht="12.75">
      <c r="A22" s="1" t="s">
        <v>144</v>
      </c>
      <c r="B22" s="3">
        <f>ROUND(B20/60/7.48,2)</f>
        <v>1.34</v>
      </c>
      <c r="C22" s="1" t="s">
        <v>85</v>
      </c>
      <c r="E22" s="101" t="s">
        <v>156</v>
      </c>
      <c r="F22" s="35"/>
      <c r="G22" s="35"/>
      <c r="H22" s="102">
        <v>2</v>
      </c>
    </row>
    <row r="23" spans="1:8" ht="12.75">
      <c r="A23" s="1" t="s">
        <v>144</v>
      </c>
      <c r="B23" s="3">
        <f>ROUND(B20*3.785,1)</f>
        <v>2271</v>
      </c>
      <c r="C23" s="1" t="s">
        <v>145</v>
      </c>
      <c r="E23" s="127" t="s">
        <v>168</v>
      </c>
      <c r="F23" s="128"/>
      <c r="G23" s="128"/>
      <c r="H23" s="129"/>
    </row>
    <row r="24" spans="2:8" ht="12.75">
      <c r="B24" s="3"/>
      <c r="E24" s="130"/>
      <c r="F24" s="131"/>
      <c r="G24" s="131"/>
      <c r="H24" s="132"/>
    </row>
    <row r="25" ht="12.75">
      <c r="B25" s="1" t="s">
        <v>13</v>
      </c>
    </row>
    <row r="26" spans="1:7" ht="12.75">
      <c r="A26" s="1" t="s">
        <v>148</v>
      </c>
      <c r="D26" s="1" t="s">
        <v>150</v>
      </c>
      <c r="G26" s="1" t="s">
        <v>143</v>
      </c>
    </row>
    <row r="27" spans="1:9" ht="12.75">
      <c r="A27" s="2" t="s">
        <v>7</v>
      </c>
      <c r="B27" s="5">
        <v>100</v>
      </c>
      <c r="C27" s="1" t="s">
        <v>10</v>
      </c>
      <c r="D27" s="2" t="s">
        <v>7</v>
      </c>
      <c r="E27" s="5">
        <v>500</v>
      </c>
      <c r="F27" s="1" t="s">
        <v>10</v>
      </c>
      <c r="G27" s="2" t="s">
        <v>158</v>
      </c>
      <c r="H27" s="3">
        <f>ROUND(B32/B21,2)</f>
        <v>0.52</v>
      </c>
      <c r="I27" s="1" t="s">
        <v>70</v>
      </c>
    </row>
    <row r="28" spans="1:9" ht="12.75">
      <c r="A28" s="2" t="s">
        <v>8</v>
      </c>
      <c r="B28" s="5">
        <v>50</v>
      </c>
      <c r="C28" s="1" t="s">
        <v>10</v>
      </c>
      <c r="D28" s="2" t="s">
        <v>79</v>
      </c>
      <c r="E28" s="5">
        <v>12</v>
      </c>
      <c r="F28" s="1" t="s">
        <v>151</v>
      </c>
      <c r="G28" s="2" t="s">
        <v>158</v>
      </c>
      <c r="H28" s="3">
        <f>ROUND(H27*24,2)</f>
        <v>12.48</v>
      </c>
      <c r="I28" s="1" t="s">
        <v>68</v>
      </c>
    </row>
    <row r="29" spans="1:9" ht="12.75">
      <c r="A29" s="2" t="s">
        <v>149</v>
      </c>
      <c r="B29" s="5">
        <v>12</v>
      </c>
      <c r="C29" s="1" t="s">
        <v>10</v>
      </c>
      <c r="D29" s="2" t="s">
        <v>79</v>
      </c>
      <c r="E29" s="3">
        <f>ROUND(E28/12,2)</f>
        <v>1</v>
      </c>
      <c r="F29" s="1" t="s">
        <v>10</v>
      </c>
      <c r="G29" s="2" t="s">
        <v>158</v>
      </c>
      <c r="H29" s="3">
        <f>ROUND(H28*60,0)</f>
        <v>749</v>
      </c>
      <c r="I29" s="1" t="s">
        <v>159</v>
      </c>
    </row>
    <row r="30" spans="2:9" ht="12.75">
      <c r="B30" s="109"/>
      <c r="D30" s="2" t="s">
        <v>165</v>
      </c>
      <c r="E30" s="3">
        <f>ROUND(PI()*(E29/2)^2,3)</f>
        <v>0.785</v>
      </c>
      <c r="F30" s="1" t="s">
        <v>166</v>
      </c>
      <c r="G30" s="2" t="s">
        <v>157</v>
      </c>
      <c r="H30" s="3">
        <f>ROUND(H31/24,2)</f>
        <v>0</v>
      </c>
      <c r="I30" s="1" t="s">
        <v>70</v>
      </c>
    </row>
    <row r="31" spans="1:9" ht="12.75">
      <c r="A31" s="1" t="s">
        <v>146</v>
      </c>
      <c r="B31" s="5">
        <f>B33*7.48</f>
        <v>448800</v>
      </c>
      <c r="C31" s="1" t="s">
        <v>21</v>
      </c>
      <c r="G31" s="2" t="s">
        <v>157</v>
      </c>
      <c r="H31" s="3">
        <f>ROUND(H32/60,2)</f>
        <v>0.08</v>
      </c>
      <c r="I31" s="1" t="s">
        <v>68</v>
      </c>
    </row>
    <row r="32" spans="2:9" ht="12.75">
      <c r="B32" s="5">
        <f>ROUND(B31/10^6,3)</f>
        <v>0.449</v>
      </c>
      <c r="C32" s="1" t="s">
        <v>160</v>
      </c>
      <c r="D32" s="2" t="s">
        <v>152</v>
      </c>
      <c r="E32" s="3">
        <f>ROUND(PI()*((E29/2)^2)*E27,2)</f>
        <v>392.7</v>
      </c>
      <c r="F32" s="1" t="s">
        <v>153</v>
      </c>
      <c r="G32" s="2" t="s">
        <v>157</v>
      </c>
      <c r="H32" s="3">
        <f>ROUND(E33/B20,1)</f>
        <v>4.9</v>
      </c>
      <c r="I32" s="1" t="s">
        <v>159</v>
      </c>
    </row>
    <row r="33" spans="2:6" ht="12.75">
      <c r="B33" s="5">
        <f>ROUND(B27*B28*B29,1)</f>
        <v>60000</v>
      </c>
      <c r="C33" s="1" t="s">
        <v>147</v>
      </c>
      <c r="E33" s="3">
        <f>ROUND(E32*7.48,2)</f>
        <v>2937.4</v>
      </c>
      <c r="F33" s="1" t="s">
        <v>21</v>
      </c>
    </row>
    <row r="34" spans="5:6" ht="12.75">
      <c r="E34" s="3">
        <f>ROUND(E33/10^6,3)</f>
        <v>0.003</v>
      </c>
      <c r="F34" s="1" t="s">
        <v>22</v>
      </c>
    </row>
    <row r="35" spans="1:6" ht="12.75">
      <c r="A35" s="1" t="s">
        <v>13</v>
      </c>
      <c r="D35" s="2" t="s">
        <v>163</v>
      </c>
      <c r="E35" s="3">
        <f>ROUND(B22/E30,2)</f>
        <v>1.71</v>
      </c>
      <c r="F35" s="1" t="s">
        <v>164</v>
      </c>
    </row>
    <row r="38" spans="1:11" ht="12.75">
      <c r="A38" s="1" t="s">
        <v>40</v>
      </c>
      <c r="C38" s="133" t="str">
        <f>CONCATENATE("The wet well holds ",B32," million gallons and the finished water production rate at peak hour is ",B20," gpm.  What is the hydraulic retention time of the wet well in minutes?")</f>
        <v>The wet well holds 0.449 million gallons and the finished water production rate at peak hour is 600 gpm.  What is the hydraulic retention time of the wet well in minutes?</v>
      </c>
      <c r="D38" s="134"/>
      <c r="E38" s="134"/>
      <c r="F38" s="134"/>
      <c r="G38" s="134"/>
      <c r="H38" s="134"/>
      <c r="I38" s="134"/>
      <c r="J38" s="134"/>
      <c r="K38" s="135"/>
    </row>
    <row r="39" spans="2:11" ht="12.75">
      <c r="B39" s="1" t="s">
        <v>13</v>
      </c>
      <c r="C39" s="143"/>
      <c r="D39" s="144"/>
      <c r="E39" s="144"/>
      <c r="F39" s="144"/>
      <c r="G39" s="144"/>
      <c r="H39" s="144"/>
      <c r="I39" s="144"/>
      <c r="J39" s="144"/>
      <c r="K39" s="145"/>
    </row>
    <row r="40" spans="3:11" ht="12.75">
      <c r="C40" s="136"/>
      <c r="D40" s="137"/>
      <c r="E40" s="137"/>
      <c r="F40" s="137"/>
      <c r="G40" s="137"/>
      <c r="H40" s="137"/>
      <c r="I40" s="137"/>
      <c r="J40" s="137"/>
      <c r="K40" s="138"/>
    </row>
    <row r="41" spans="3:11" ht="12.75">
      <c r="C41" s="10"/>
      <c r="D41" s="10"/>
      <c r="E41" s="10"/>
      <c r="F41" s="10"/>
      <c r="G41" s="10"/>
      <c r="H41" s="10"/>
      <c r="I41" s="10"/>
      <c r="J41" s="10"/>
      <c r="K41" s="10"/>
    </row>
    <row r="42" spans="3:11" ht="12.75">
      <c r="C42" s="10" t="s">
        <v>41</v>
      </c>
      <c r="D42" s="13">
        <f>H29</f>
        <v>749</v>
      </c>
      <c r="E42" s="11" t="s">
        <v>159</v>
      </c>
      <c r="F42" s="10"/>
      <c r="G42" s="10"/>
      <c r="H42" s="10"/>
      <c r="I42" s="10"/>
      <c r="J42" s="10"/>
      <c r="K42" s="10"/>
    </row>
    <row r="45" spans="1:11" ht="12.75">
      <c r="A45" s="1" t="s">
        <v>42</v>
      </c>
      <c r="C45" s="133" t="str">
        <f>CONCATENATE("A number of pumps are used to fill a water tank.  Each pump transfers water into the tank at a rate of ",B20," gallons per minute when ",H20," pumps are used.  The tank can be filled in ",H28," hours.  What is the volume of the tank in cubic feet?")</f>
        <v>A number of pumps are used to fill a water tank.  Each pump transfers water into the tank at a rate of 600 gallons per minute when 4 pumps are used.  The tank can be filled in 12.48 hours.  What is the volume of the tank in cubic feet?</v>
      </c>
      <c r="D45" s="134"/>
      <c r="E45" s="134"/>
      <c r="F45" s="134"/>
      <c r="G45" s="134"/>
      <c r="H45" s="134"/>
      <c r="I45" s="134"/>
      <c r="J45" s="134"/>
      <c r="K45" s="135"/>
    </row>
    <row r="46" spans="3:11" ht="12.75">
      <c r="C46" s="143"/>
      <c r="D46" s="144"/>
      <c r="E46" s="144"/>
      <c r="F46" s="144"/>
      <c r="G46" s="144"/>
      <c r="H46" s="144"/>
      <c r="I46" s="144"/>
      <c r="J46" s="144"/>
      <c r="K46" s="145"/>
    </row>
    <row r="47" spans="3:11" ht="12.75">
      <c r="C47" s="136"/>
      <c r="D47" s="137"/>
      <c r="E47" s="137"/>
      <c r="F47" s="137"/>
      <c r="G47" s="137"/>
      <c r="H47" s="137"/>
      <c r="I47" s="137"/>
      <c r="J47" s="137"/>
      <c r="K47" s="138"/>
    </row>
    <row r="49" spans="3:5" ht="12.75">
      <c r="C49" s="1" t="s">
        <v>41</v>
      </c>
      <c r="D49" s="92">
        <f>B33*H20</f>
        <v>240000</v>
      </c>
      <c r="E49" s="1" t="s">
        <v>162</v>
      </c>
    </row>
    <row r="51" spans="1:11" ht="12.75">
      <c r="A51" s="1" t="s">
        <v>46</v>
      </c>
      <c r="C51" s="133" t="str">
        <f>CONCATENATE("A water main feeds a subdivision.  The main is ",E27," feet long and is ",E28," inches in diameter.  The distribution crew is flushing the main to remove sediment.  The pipe carries ",B20," gpm.  How long should they flush the line to achieve ",H22," pipe volumes?  Express your answer in minutes.")</f>
        <v>A water main feeds a subdivision.  The main is 500 feet long and is 12 inches in diameter.  The distribution crew is flushing the main to remove sediment.  The pipe carries 600 gpm.  How long should they flush the line to achieve 2 pipe volumes?  Express your answer in minutes.</v>
      </c>
      <c r="D51" s="134"/>
      <c r="E51" s="134"/>
      <c r="F51" s="134"/>
      <c r="G51" s="134"/>
      <c r="H51" s="134"/>
      <c r="I51" s="134"/>
      <c r="J51" s="134"/>
      <c r="K51" s="135"/>
    </row>
    <row r="52" spans="3:11" ht="12.75">
      <c r="C52" s="143"/>
      <c r="D52" s="144"/>
      <c r="E52" s="144"/>
      <c r="F52" s="144"/>
      <c r="G52" s="144"/>
      <c r="H52" s="144"/>
      <c r="I52" s="144"/>
      <c r="J52" s="144"/>
      <c r="K52" s="145"/>
    </row>
    <row r="53" spans="3:11" ht="12.75">
      <c r="C53" s="139"/>
      <c r="D53" s="140"/>
      <c r="E53" s="140"/>
      <c r="F53" s="140"/>
      <c r="G53" s="140"/>
      <c r="H53" s="140"/>
      <c r="I53" s="140"/>
      <c r="J53" s="140"/>
      <c r="K53" s="141"/>
    </row>
    <row r="55" spans="3:5" ht="12.75">
      <c r="C55" s="1" t="s">
        <v>41</v>
      </c>
      <c r="D55" s="92">
        <f>H32/H22</f>
        <v>2.45</v>
      </c>
      <c r="E55" s="1" t="s">
        <v>159</v>
      </c>
    </row>
    <row r="57" spans="1:11" ht="12.75">
      <c r="A57" s="1" t="s">
        <v>48</v>
      </c>
      <c r="C57" s="133" t="str">
        <f>CONCATENATE("A rectangular basin measures ",B27," feet long, by ",B28," feet wide, by ",B29," feet deep.  A pump drawing water out of the full tank is able to empty the tank in ",H27," days.  What is the pump rate in gallons per minute?")</f>
        <v>A rectangular basin measures 100 feet long, by 50 feet wide, by 12 feet deep.  A pump drawing water out of the full tank is able to empty the tank in 0.52 days.  What is the pump rate in gallons per minute?</v>
      </c>
      <c r="D57" s="134"/>
      <c r="E57" s="134"/>
      <c r="F57" s="134"/>
      <c r="G57" s="134"/>
      <c r="H57" s="134"/>
      <c r="I57" s="134"/>
      <c r="J57" s="134"/>
      <c r="K57" s="135"/>
    </row>
    <row r="58" spans="3:11" ht="12.75">
      <c r="C58" s="143"/>
      <c r="D58" s="144"/>
      <c r="E58" s="144"/>
      <c r="F58" s="144"/>
      <c r="G58" s="144"/>
      <c r="H58" s="144"/>
      <c r="I58" s="144"/>
      <c r="J58" s="144"/>
      <c r="K58" s="145"/>
    </row>
    <row r="59" spans="3:11" ht="12.75">
      <c r="C59" s="136"/>
      <c r="D59" s="137"/>
      <c r="E59" s="137"/>
      <c r="F59" s="137"/>
      <c r="G59" s="137"/>
      <c r="H59" s="137"/>
      <c r="I59" s="137"/>
      <c r="J59" s="137"/>
      <c r="K59" s="138"/>
    </row>
    <row r="60" ht="12.75">
      <c r="E60" s="1" t="s">
        <v>13</v>
      </c>
    </row>
    <row r="61" spans="3:5" ht="12.75">
      <c r="C61" s="1" t="s">
        <v>41</v>
      </c>
      <c r="D61" s="92">
        <f>B20</f>
        <v>600</v>
      </c>
      <c r="E61" s="1" t="s">
        <v>2</v>
      </c>
    </row>
    <row r="63" spans="1:11" ht="12.75">
      <c r="A63" s="1" t="s">
        <v>49</v>
      </c>
      <c r="C63" s="124" t="str">
        <f>CONCATENATE("A rectangular tank is being filled by ",H20," pumps.  If the tank is ",B27," feet long by ",B28," feet wide by ",B29," feet long and takes ",H27," days to fill.  At what rate is each pump moving water into the tank?  Express your answer in gpm.")</f>
        <v>A rectangular tank is being filled by 4 pumps.  If the tank is 100 feet long by 50 feet wide by 12 feet long and takes 0.52 days to fill.  At what rate is each pump moving water into the tank?  Express your answer in gpm.</v>
      </c>
      <c r="D63" s="125"/>
      <c r="E63" s="125"/>
      <c r="F63" s="125"/>
      <c r="G63" s="125"/>
      <c r="H63" s="125"/>
      <c r="I63" s="125"/>
      <c r="J63" s="125"/>
      <c r="K63" s="126"/>
    </row>
    <row r="64" spans="3:11" ht="12.75">
      <c r="C64" s="127"/>
      <c r="D64" s="128"/>
      <c r="E64" s="128"/>
      <c r="F64" s="128"/>
      <c r="G64" s="128"/>
      <c r="H64" s="128"/>
      <c r="I64" s="128"/>
      <c r="J64" s="128"/>
      <c r="K64" s="129"/>
    </row>
    <row r="65" spans="3:11" ht="12.75">
      <c r="C65" s="130"/>
      <c r="D65" s="131"/>
      <c r="E65" s="131"/>
      <c r="F65" s="131"/>
      <c r="G65" s="131"/>
      <c r="H65" s="131"/>
      <c r="I65" s="131"/>
      <c r="J65" s="131"/>
      <c r="K65" s="132"/>
    </row>
    <row r="67" spans="3:5" ht="12.75">
      <c r="C67" s="1" t="s">
        <v>41</v>
      </c>
      <c r="D67" s="92">
        <f>ROUND(B20/H20,1)</f>
        <v>150</v>
      </c>
      <c r="E67" s="1" t="s">
        <v>2</v>
      </c>
    </row>
    <row r="69" spans="1:11" ht="12.75">
      <c r="A69" s="1" t="s">
        <v>52</v>
      </c>
      <c r="C69" s="124" t="str">
        <f>CONCATENATE("Water enters the distribution system at ",B21," mgd.  The transmission line has a diameter of ",E28," inches and is ",E27," feet long.  The transmission main feeds a ",B31," gallon storage tank.  If water leaves the tank at the same rate that it enters, calculate the water age as it leaves the tank.  Assume the tank is full.  Express your answer in hours and minutes.")</f>
        <v>Water enters the distribution system at 0.86 mgd.  The transmission line has a diameter of 12 inches and is 500 feet long.  The transmission main feeds a 448800 gallon storage tank.  If water leaves the tank at the same rate that it enters, calculate the water age as it leaves the tank.  Assume the tank is full.  Express your answer in hours and minutes.</v>
      </c>
      <c r="D69" s="125"/>
      <c r="E69" s="125"/>
      <c r="F69" s="125"/>
      <c r="G69" s="125"/>
      <c r="H69" s="125"/>
      <c r="I69" s="125"/>
      <c r="J69" s="125"/>
      <c r="K69" s="126"/>
    </row>
    <row r="70" spans="3:11" ht="12.75">
      <c r="C70" s="127"/>
      <c r="D70" s="128"/>
      <c r="E70" s="128"/>
      <c r="F70" s="128"/>
      <c r="G70" s="128"/>
      <c r="H70" s="128"/>
      <c r="I70" s="128"/>
      <c r="J70" s="128"/>
      <c r="K70" s="129"/>
    </row>
    <row r="71" spans="3:11" ht="12.75">
      <c r="C71" s="149"/>
      <c r="D71" s="150"/>
      <c r="E71" s="150"/>
      <c r="F71" s="150"/>
      <c r="G71" s="150"/>
      <c r="H71" s="150"/>
      <c r="I71" s="150"/>
      <c r="J71" s="150"/>
      <c r="K71" s="151"/>
    </row>
    <row r="72" spans="3:11" ht="12.75">
      <c r="C72" s="139"/>
      <c r="D72" s="140"/>
      <c r="E72" s="140"/>
      <c r="F72" s="140"/>
      <c r="G72" s="140"/>
      <c r="H72" s="140"/>
      <c r="I72" s="140"/>
      <c r="J72" s="140"/>
      <c r="K72" s="141"/>
    </row>
    <row r="74" spans="3:10" ht="12.75">
      <c r="C74" s="1" t="s">
        <v>41</v>
      </c>
      <c r="D74" s="16" t="str">
        <f>CONCATENATE(H74," hours and ",J74," minutes")</f>
        <v>12 hours and 34 minutes</v>
      </c>
      <c r="G74" s="103">
        <f>H29+H32</f>
        <v>753.9</v>
      </c>
      <c r="H74" s="17">
        <f>ROUNDDOWN(G74/60,0)</f>
        <v>12</v>
      </c>
      <c r="I74" s="17">
        <f>G74/60</f>
        <v>12.565</v>
      </c>
      <c r="J74" s="17">
        <f>ROUND((I74-H74)*60,0)</f>
        <v>34</v>
      </c>
    </row>
    <row r="76" spans="1:11" ht="12.75">
      <c r="A76" s="1" t="s">
        <v>167</v>
      </c>
      <c r="C76" s="133" t="str">
        <f>CONCATENATE("Water leaves a full, cylindrical tank at a rate of ",B22," cfs.  The tank volume is reduced by 50% after ",H28," hours.  If the tank is 20 feet high, what is the diameter in feet?")</f>
        <v>Water leaves a full, cylindrical tank at a rate of 1.34 cfs.  The tank volume is reduced by 50% after 12.48 hours.  If the tank is 20 feet high, what is the diameter in feet?</v>
      </c>
      <c r="D76" s="134"/>
      <c r="E76" s="134"/>
      <c r="F76" s="134"/>
      <c r="G76" s="134"/>
      <c r="H76" s="134"/>
      <c r="I76" s="134"/>
      <c r="J76" s="134"/>
      <c r="K76" s="135"/>
    </row>
    <row r="77" spans="3:11" ht="12.75">
      <c r="C77" s="143"/>
      <c r="D77" s="144"/>
      <c r="E77" s="144"/>
      <c r="F77" s="144"/>
      <c r="G77" s="144"/>
      <c r="H77" s="144"/>
      <c r="I77" s="144"/>
      <c r="J77" s="144"/>
      <c r="K77" s="145"/>
    </row>
    <row r="78" spans="3:11" ht="12.75">
      <c r="C78" s="136"/>
      <c r="D78" s="137"/>
      <c r="E78" s="137"/>
      <c r="F78" s="137"/>
      <c r="G78" s="137"/>
      <c r="H78" s="137"/>
      <c r="I78" s="137"/>
      <c r="J78" s="137"/>
      <c r="K78" s="138"/>
    </row>
    <row r="80" spans="3:5" ht="12.75">
      <c r="C80" s="1" t="s">
        <v>41</v>
      </c>
      <c r="D80" s="92">
        <f>ROUND(SQRT(B33/10/PI())*2,1)</f>
        <v>87.4</v>
      </c>
      <c r="E80" s="1" t="s">
        <v>124</v>
      </c>
    </row>
    <row r="82" spans="1:11" ht="12.75">
      <c r="A82" s="1" t="s">
        <v>169</v>
      </c>
      <c r="C82" s="133" t="str">
        <f>CONCATENATE("A water tank on the top of a hill holds ",B33," cf of water.  The tank is completely empty.  The tank is fed by a booster pump station with ",H20," pumps.  Each pump is rated at ",F87," gpm.  If the distribution crew needs to fill the tank in less than ",H28," hours, what is the least number of pumps that could be used?  Assume that pump rates remain constant regardless of the volume of water in the tank.")</f>
        <v>A water tank on the top of a hill holds 60000 cf of water.  The tank is completely empty.  The tank is fed by a booster pump station with 4 pumps.  Each pump is rated at 240 gpm.  If the distribution crew needs to fill the tank in less than 12.48 hours, what is the least number of pumps that could be used?  Assume that pump rates remain constant regardless of the volume of water in the tank.</v>
      </c>
      <c r="D82" s="134"/>
      <c r="E82" s="134"/>
      <c r="F82" s="134"/>
      <c r="G82" s="134"/>
      <c r="H82" s="134"/>
      <c r="I82" s="134"/>
      <c r="J82" s="134"/>
      <c r="K82" s="135"/>
    </row>
    <row r="83" spans="3:11" ht="12.75">
      <c r="C83" s="143"/>
      <c r="D83" s="144"/>
      <c r="E83" s="144"/>
      <c r="F83" s="144"/>
      <c r="G83" s="144"/>
      <c r="H83" s="144"/>
      <c r="I83" s="144"/>
      <c r="J83" s="144"/>
      <c r="K83" s="145"/>
    </row>
    <row r="84" spans="3:11" ht="12.75">
      <c r="C84" s="143"/>
      <c r="D84" s="144"/>
      <c r="E84" s="144"/>
      <c r="F84" s="144"/>
      <c r="G84" s="144"/>
      <c r="H84" s="144"/>
      <c r="I84" s="144"/>
      <c r="J84" s="144"/>
      <c r="K84" s="145"/>
    </row>
    <row r="85" spans="3:11" ht="12.75">
      <c r="C85" s="146"/>
      <c r="D85" s="147"/>
      <c r="E85" s="147"/>
      <c r="F85" s="147"/>
      <c r="G85" s="147"/>
      <c r="H85" s="147"/>
      <c r="I85" s="147"/>
      <c r="J85" s="147"/>
      <c r="K85" s="148"/>
    </row>
    <row r="87" spans="3:7" ht="12.75">
      <c r="C87" s="1" t="s">
        <v>41</v>
      </c>
      <c r="D87" s="92">
        <f>ROUNDUP(B20/F87,0)</f>
        <v>3</v>
      </c>
      <c r="E87" s="1" t="s">
        <v>170</v>
      </c>
      <c r="F87" s="17">
        <f>B20/2.5</f>
        <v>240</v>
      </c>
      <c r="G87" s="17" t="s">
        <v>2</v>
      </c>
    </row>
    <row r="89" spans="1:11" ht="12.75">
      <c r="A89" s="1" t="s">
        <v>185</v>
      </c>
      <c r="C89" s="124" t="str">
        <f>CONCATENATE("A ",E28," inch pipeline needs to be flushed.  If the desired length of pipeline to be flushed is ",E27," feet, how many minutes will it take to flush the line at 50 gpm?")</f>
        <v>A 12 inch pipeline needs to be flushed.  If the desired length of pipeline to be flushed is 500 feet, how many minutes will it take to flush the line at 50 gpm?</v>
      </c>
      <c r="D89" s="125"/>
      <c r="E89" s="125"/>
      <c r="F89" s="125"/>
      <c r="G89" s="125"/>
      <c r="H89" s="125"/>
      <c r="I89" s="125"/>
      <c r="J89" s="125"/>
      <c r="K89" s="126"/>
    </row>
    <row r="90" spans="3:11" ht="12.75">
      <c r="C90" s="130"/>
      <c r="D90" s="131"/>
      <c r="E90" s="131"/>
      <c r="F90" s="131"/>
      <c r="G90" s="131"/>
      <c r="H90" s="131"/>
      <c r="I90" s="131"/>
      <c r="J90" s="131"/>
      <c r="K90" s="132"/>
    </row>
    <row r="92" spans="3:5" ht="12.75">
      <c r="C92" s="1" t="s">
        <v>41</v>
      </c>
      <c r="D92" s="92">
        <f>ROUNDUP(E33/50,0)</f>
        <v>59</v>
      </c>
      <c r="E92" s="1" t="s">
        <v>159</v>
      </c>
    </row>
    <row r="94" spans="1:11" ht="12.75">
      <c r="A94" s="1" t="s">
        <v>186</v>
      </c>
      <c r="C94" s="133" t="str">
        <f>CONCATENATE("A tank holding ",B33," cubic feet of water is drained by ",H22," pipes.  Each pipe carries the same amount of flow.  If it takes ",H29," minutes to drain the tank, what is the flow rate in each pipe?")</f>
        <v>A tank holding 60000 cubic feet of water is drained by 2 pipes.  Each pipe carries the same amount of flow.  If it takes 749 minutes to drain the tank, what is the flow rate in each pipe?</v>
      </c>
      <c r="D94" s="134"/>
      <c r="E94" s="134"/>
      <c r="F94" s="134"/>
      <c r="G94" s="134"/>
      <c r="H94" s="134"/>
      <c r="I94" s="134"/>
      <c r="J94" s="134"/>
      <c r="K94" s="135"/>
    </row>
    <row r="95" spans="3:11" ht="12.75">
      <c r="C95" s="143"/>
      <c r="D95" s="144"/>
      <c r="E95" s="144"/>
      <c r="F95" s="144"/>
      <c r="G95" s="144"/>
      <c r="H95" s="144"/>
      <c r="I95" s="144"/>
      <c r="J95" s="144"/>
      <c r="K95" s="145"/>
    </row>
    <row r="96" spans="3:11" ht="12.75">
      <c r="C96" s="136"/>
      <c r="D96" s="137"/>
      <c r="E96" s="137"/>
      <c r="F96" s="137"/>
      <c r="G96" s="137"/>
      <c r="H96" s="137"/>
      <c r="I96" s="137"/>
      <c r="J96" s="137"/>
      <c r="K96" s="138"/>
    </row>
    <row r="98" spans="3:5" ht="12.75">
      <c r="C98" s="1" t="s">
        <v>41</v>
      </c>
      <c r="D98" s="92">
        <f>B20/H22</f>
        <v>300</v>
      </c>
      <c r="E98" s="1" t="s">
        <v>2</v>
      </c>
    </row>
  </sheetData>
  <sheetProtection password="DDB7" sheet="1" objects="1" scenarios="1"/>
  <mergeCells count="11">
    <mergeCell ref="C94:K96"/>
    <mergeCell ref="C38:K40"/>
    <mergeCell ref="C45:K47"/>
    <mergeCell ref="C51:K53"/>
    <mergeCell ref="C57:K59"/>
    <mergeCell ref="C76:K78"/>
    <mergeCell ref="E23:H24"/>
    <mergeCell ref="C82:K85"/>
    <mergeCell ref="C89:K90"/>
    <mergeCell ref="C63:K65"/>
    <mergeCell ref="C69:K72"/>
  </mergeCells>
  <printOptions/>
  <pageMargins left="0.75" right="0.75" top="1" bottom="1" header="0.5" footer="0.5"/>
  <pageSetup horizontalDpi="1200" verticalDpi="1200" orientation="portrait" r:id="rId4"/>
  <drawing r:id="rId3"/>
  <legacyDrawing r:id="rId2"/>
  <oleObjects>
    <oleObject progId="Equation.3" shapeId="6667600" r:id="rId1"/>
  </oleObjects>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D4" sqref="D4"/>
    </sheetView>
  </sheetViews>
  <sheetFormatPr defaultColWidth="9.140625" defaultRowHeight="12.75"/>
  <cols>
    <col min="1" max="1" width="15.7109375" style="110" customWidth="1"/>
    <col min="2" max="2" width="4.7109375" style="110" customWidth="1"/>
    <col min="3" max="8" width="9.140625" style="110" customWidth="1"/>
    <col min="9" max="9" width="4.28125" style="110" customWidth="1"/>
    <col min="10" max="10" width="10.57421875" style="110" customWidth="1"/>
    <col min="11" max="16384" width="9.140625" style="110" customWidth="1"/>
  </cols>
  <sheetData>
    <row r="1" ht="12.75"/>
    <row r="2" ht="12.75">
      <c r="D2" s="111" t="s">
        <v>215</v>
      </c>
    </row>
    <row r="3" ht="12.75">
      <c r="D3" s="111" t="s">
        <v>219</v>
      </c>
    </row>
    <row r="4" ht="12.75"/>
    <row r="5" ht="12.75"/>
    <row r="6" ht="12.75">
      <c r="A6" s="110" t="s">
        <v>30</v>
      </c>
    </row>
    <row r="7" ht="12.75">
      <c r="A7" s="110" t="s">
        <v>171</v>
      </c>
    </row>
    <row r="8" ht="12.75">
      <c r="A8" s="112"/>
    </row>
    <row r="9" spans="6:10" ht="12.75">
      <c r="F9" s="113" t="s">
        <v>178</v>
      </c>
      <c r="J9" s="113" t="s">
        <v>179</v>
      </c>
    </row>
    <row r="10" spans="6:12" ht="12.75">
      <c r="F10" s="110" t="s">
        <v>7</v>
      </c>
      <c r="G10" s="114">
        <v>10</v>
      </c>
      <c r="H10" s="110" t="s">
        <v>10</v>
      </c>
      <c r="J10" s="110" t="s">
        <v>7</v>
      </c>
      <c r="K10" s="114">
        <v>300</v>
      </c>
      <c r="L10" s="110" t="s">
        <v>10</v>
      </c>
    </row>
    <row r="11" spans="6:12" ht="12.75">
      <c r="F11" s="110" t="s">
        <v>8</v>
      </c>
      <c r="G11" s="114">
        <v>4</v>
      </c>
      <c r="H11" s="110" t="s">
        <v>10</v>
      </c>
      <c r="J11" s="110" t="s">
        <v>79</v>
      </c>
      <c r="K11" s="114">
        <v>4</v>
      </c>
      <c r="L11" s="110" t="s">
        <v>151</v>
      </c>
    </row>
    <row r="12" spans="6:12" ht="12.75">
      <c r="F12" s="110" t="s">
        <v>9</v>
      </c>
      <c r="G12" s="114">
        <v>2</v>
      </c>
      <c r="H12" s="110" t="s">
        <v>10</v>
      </c>
      <c r="J12" s="110" t="s">
        <v>79</v>
      </c>
      <c r="K12" s="115">
        <f>ROUND(K11/12,3)</f>
        <v>0.333</v>
      </c>
      <c r="L12" s="110" t="s">
        <v>124</v>
      </c>
    </row>
    <row r="13" spans="6:12" ht="12.75">
      <c r="F13" s="110" t="s">
        <v>165</v>
      </c>
      <c r="G13" s="115">
        <f>G11*G12</f>
        <v>8</v>
      </c>
      <c r="H13" s="110" t="s">
        <v>183</v>
      </c>
      <c r="J13" s="110" t="s">
        <v>165</v>
      </c>
      <c r="K13" s="115">
        <f>ROUND(PI()*(K12/2)^2,3)</f>
        <v>0.087</v>
      </c>
      <c r="L13" s="110" t="s">
        <v>183</v>
      </c>
    </row>
    <row r="14" spans="6:12" ht="12.75">
      <c r="F14" s="110" t="s">
        <v>86</v>
      </c>
      <c r="G14" s="114">
        <v>15000</v>
      </c>
      <c r="H14" s="110" t="s">
        <v>2</v>
      </c>
      <c r="J14" s="110" t="s">
        <v>86</v>
      </c>
      <c r="K14" s="114">
        <v>180</v>
      </c>
      <c r="L14" s="110" t="s">
        <v>2</v>
      </c>
    </row>
    <row r="15" spans="6:12" ht="12.75">
      <c r="F15" s="110" t="s">
        <v>86</v>
      </c>
      <c r="G15" s="115">
        <f>ROUND(G14/7.48,2)</f>
        <v>2005.35</v>
      </c>
      <c r="H15" s="110" t="s">
        <v>180</v>
      </c>
      <c r="J15" s="110" t="s">
        <v>86</v>
      </c>
      <c r="K15" s="115">
        <f>ROUND(K14/7.48,2)</f>
        <v>24.06</v>
      </c>
      <c r="L15" s="110" t="s">
        <v>180</v>
      </c>
    </row>
    <row r="16" spans="6:12" ht="12.75">
      <c r="F16" s="110" t="s">
        <v>86</v>
      </c>
      <c r="G16" s="115">
        <f>ROUND(G15/60,2)</f>
        <v>33.42</v>
      </c>
      <c r="H16" s="110" t="s">
        <v>85</v>
      </c>
      <c r="J16" s="110" t="s">
        <v>86</v>
      </c>
      <c r="K16" s="115">
        <f>ROUND(K15/60,2)</f>
        <v>0.4</v>
      </c>
      <c r="L16" s="110" t="s">
        <v>85</v>
      </c>
    </row>
    <row r="17" spans="6:12" ht="12.75">
      <c r="F17" s="110" t="s">
        <v>171</v>
      </c>
      <c r="G17" s="115">
        <f>ROUND(G16/G13,2)</f>
        <v>4.18</v>
      </c>
      <c r="H17" s="110" t="s">
        <v>164</v>
      </c>
      <c r="J17" s="110" t="s">
        <v>171</v>
      </c>
      <c r="K17" s="115">
        <f>ROUND(K16/K13,2)</f>
        <v>4.6</v>
      </c>
      <c r="L17" s="110" t="s">
        <v>164</v>
      </c>
    </row>
    <row r="18" ht="12.75"/>
    <row r="19" ht="15.75">
      <c r="B19" s="116" t="s">
        <v>172</v>
      </c>
    </row>
    <row r="21" ht="12.75">
      <c r="G21" s="110" t="s">
        <v>173</v>
      </c>
    </row>
    <row r="22" ht="12.75">
      <c r="G22" s="110" t="s">
        <v>174</v>
      </c>
    </row>
    <row r="23" ht="12.75">
      <c r="G23" s="110" t="s">
        <v>175</v>
      </c>
    </row>
    <row r="24" ht="12.75">
      <c r="G24" s="110" t="s">
        <v>176</v>
      </c>
    </row>
    <row r="25" ht="12.75"/>
    <row r="26" ht="12.75">
      <c r="G26" s="110" t="s">
        <v>177</v>
      </c>
    </row>
    <row r="27" ht="12.75"/>
    <row r="28" ht="12.75"/>
    <row r="29" ht="12.75"/>
    <row r="30" ht="12.75"/>
    <row r="31" ht="12.75"/>
    <row r="32" ht="12.75"/>
    <row r="33" ht="12.75"/>
    <row r="35" ht="12.75">
      <c r="B35" s="110" t="s">
        <v>181</v>
      </c>
    </row>
    <row r="36" ht="12.75">
      <c r="B36" s="110" t="s">
        <v>182</v>
      </c>
    </row>
    <row r="38" spans="1:11" ht="12.75">
      <c r="A38" s="110" t="s">
        <v>40</v>
      </c>
      <c r="C38" s="161" t="str">
        <f>CONCATENATE("What should the flow meter read in gallons per minute, if a ",K11," inch diameter main is to be flushed at ",K17," feet per second?")</f>
        <v>What should the flow meter read in gallons per minute, if a 4 inch diameter main is to be flushed at 4.6 feet per second?</v>
      </c>
      <c r="D38" s="162"/>
      <c r="E38" s="162"/>
      <c r="F38" s="162"/>
      <c r="G38" s="162"/>
      <c r="H38" s="162"/>
      <c r="I38" s="162"/>
      <c r="J38" s="162"/>
      <c r="K38" s="163"/>
    </row>
    <row r="39" spans="3:11" ht="12.75">
      <c r="C39" s="164"/>
      <c r="D39" s="165"/>
      <c r="E39" s="165"/>
      <c r="F39" s="165"/>
      <c r="G39" s="165"/>
      <c r="H39" s="165"/>
      <c r="I39" s="165"/>
      <c r="J39" s="165"/>
      <c r="K39" s="166"/>
    </row>
    <row r="41" spans="3:5" ht="12.75">
      <c r="C41" s="110" t="s">
        <v>41</v>
      </c>
      <c r="D41" s="117">
        <f>K14</f>
        <v>180</v>
      </c>
      <c r="E41" s="110" t="s">
        <v>2</v>
      </c>
    </row>
    <row r="43" spans="1:11" ht="12.75">
      <c r="A43" s="110" t="s">
        <v>42</v>
      </c>
      <c r="C43" s="161" t="str">
        <f>CONCATENATE("The velocity through a channel is ",G17," fps.  If the channel is ",G11," feet wide by",G12," feet deep by ",G10," feet long, what is the flow in cubic feet per second?")</f>
        <v>The velocity through a channel is 4.18 fps.  If the channel is 4 feet wide by2 feet deep by 10 feet long, what is the flow in cubic feet per second?</v>
      </c>
      <c r="D43" s="162"/>
      <c r="E43" s="162"/>
      <c r="F43" s="162"/>
      <c r="G43" s="162"/>
      <c r="H43" s="162"/>
      <c r="I43" s="162"/>
      <c r="J43" s="162"/>
      <c r="K43" s="163"/>
    </row>
    <row r="44" spans="3:11" ht="12.75">
      <c r="C44" s="164"/>
      <c r="D44" s="165"/>
      <c r="E44" s="165"/>
      <c r="F44" s="165"/>
      <c r="G44" s="165"/>
      <c r="H44" s="165"/>
      <c r="I44" s="165"/>
      <c r="J44" s="165"/>
      <c r="K44" s="166"/>
    </row>
    <row r="45" ht="12.75">
      <c r="B45" s="110" t="s">
        <v>13</v>
      </c>
    </row>
    <row r="46" spans="3:5" ht="12.75">
      <c r="C46" s="118" t="s">
        <v>41</v>
      </c>
      <c r="D46" s="119">
        <f>G16</f>
        <v>33.42</v>
      </c>
      <c r="E46" s="110" t="s">
        <v>85</v>
      </c>
    </row>
    <row r="47" spans="2:4" ht="12.75">
      <c r="B47" s="110" t="s">
        <v>13</v>
      </c>
      <c r="C47" s="118"/>
      <c r="D47" s="118"/>
    </row>
    <row r="48" spans="1:11" ht="12.75">
      <c r="A48" s="110" t="s">
        <v>46</v>
      </c>
      <c r="B48" s="118"/>
      <c r="C48" s="161" t="str">
        <f>CONCATENATE("A ",K11," inch diameter pipe conveys ",K14," gpm from the clear well into the distribution system.  What is the velocity of water in the pipe?")</f>
        <v>A 4 inch diameter pipe conveys 180 gpm from the clear well into the distribution system.  What is the velocity of water in the pipe?</v>
      </c>
      <c r="D48" s="162"/>
      <c r="E48" s="162"/>
      <c r="F48" s="162"/>
      <c r="G48" s="162"/>
      <c r="H48" s="162"/>
      <c r="I48" s="162"/>
      <c r="J48" s="162"/>
      <c r="K48" s="163"/>
    </row>
    <row r="49" spans="2:11" ht="12.75">
      <c r="B49" s="118"/>
      <c r="C49" s="164"/>
      <c r="D49" s="165"/>
      <c r="E49" s="165"/>
      <c r="F49" s="165"/>
      <c r="G49" s="165"/>
      <c r="H49" s="165"/>
      <c r="I49" s="165"/>
      <c r="J49" s="165"/>
      <c r="K49" s="166"/>
    </row>
    <row r="50" spans="2:4" ht="12.75">
      <c r="B50" s="118"/>
      <c r="C50" s="118"/>
      <c r="D50" s="118"/>
    </row>
    <row r="51" spans="2:5" ht="12.75">
      <c r="B51" s="118"/>
      <c r="C51" s="118" t="s">
        <v>41</v>
      </c>
      <c r="D51" s="119">
        <f>K17</f>
        <v>4.6</v>
      </c>
      <c r="E51" s="110" t="s">
        <v>164</v>
      </c>
    </row>
    <row r="52" spans="2:4" ht="12.75">
      <c r="B52" s="118"/>
      <c r="C52" s="118"/>
      <c r="D52" s="118"/>
    </row>
    <row r="53" spans="1:11" ht="12.75">
      <c r="A53" s="110" t="s">
        <v>48</v>
      </c>
      <c r="C53" s="161" t="str">
        <f>CONCATENATE("Distribution main flushing is done to maintain a minimum velocity in the pipe of ",K17," fps.  A particular main discharges ",K16," cfs.  If the main is 450 feet long, what is the diameter?")</f>
        <v>Distribution main flushing is done to maintain a minimum velocity in the pipe of 4.6 fps.  A particular main discharges 0.4 cfs.  If the main is 450 feet long, what is the diameter?</v>
      </c>
      <c r="D53" s="162"/>
      <c r="E53" s="162"/>
      <c r="F53" s="162"/>
      <c r="G53" s="162"/>
      <c r="H53" s="162"/>
      <c r="I53" s="162"/>
      <c r="J53" s="162"/>
      <c r="K53" s="163"/>
    </row>
    <row r="54" spans="3:11" ht="12.75">
      <c r="C54" s="164"/>
      <c r="D54" s="165"/>
      <c r="E54" s="165"/>
      <c r="F54" s="165"/>
      <c r="G54" s="165"/>
      <c r="H54" s="165"/>
      <c r="I54" s="165"/>
      <c r="J54" s="165"/>
      <c r="K54" s="166"/>
    </row>
    <row r="56" spans="3:5" ht="12.75">
      <c r="C56" s="110" t="s">
        <v>41</v>
      </c>
      <c r="D56" s="117">
        <f>K11</f>
        <v>4</v>
      </c>
      <c r="E56" s="110" t="s">
        <v>151</v>
      </c>
    </row>
    <row r="58" spans="1:11" ht="12.75">
      <c r="A58" s="110" t="s">
        <v>49</v>
      </c>
      <c r="C58" s="152" t="str">
        <f>CONCATENATE("A stick dropped into a channel travels ",G62," feet in ",J62," seconds.  What is the velocity of the water through the channel?")</f>
        <v>A stick dropped into a channel travels 15 feet in 8 seconds.  What is the velocity of the water through the channel?</v>
      </c>
      <c r="D58" s="153"/>
      <c r="E58" s="153"/>
      <c r="F58" s="153"/>
      <c r="G58" s="153"/>
      <c r="H58" s="153"/>
      <c r="I58" s="153"/>
      <c r="J58" s="153"/>
      <c r="K58" s="154"/>
    </row>
    <row r="59" spans="3:11" ht="12.75">
      <c r="C59" s="155"/>
      <c r="D59" s="156"/>
      <c r="E59" s="156"/>
      <c r="F59" s="156"/>
      <c r="G59" s="156"/>
      <c r="H59" s="156"/>
      <c r="I59" s="156"/>
      <c r="J59" s="156"/>
      <c r="K59" s="157"/>
    </row>
    <row r="60" spans="3:11" ht="12.75">
      <c r="C60" s="158"/>
      <c r="D60" s="159"/>
      <c r="E60" s="159"/>
      <c r="F60" s="159"/>
      <c r="G60" s="159"/>
      <c r="H60" s="159"/>
      <c r="I60" s="159"/>
      <c r="J60" s="159"/>
      <c r="K60" s="160"/>
    </row>
    <row r="62" spans="3:11" ht="12.75">
      <c r="C62" s="110" t="s">
        <v>41</v>
      </c>
      <c r="D62" s="117">
        <f>ROUND(G62/J62,1)</f>
        <v>1.9</v>
      </c>
      <c r="E62" s="110" t="s">
        <v>164</v>
      </c>
      <c r="G62" s="112">
        <v>15</v>
      </c>
      <c r="H62" s="112" t="s">
        <v>124</v>
      </c>
      <c r="I62" s="112"/>
      <c r="J62" s="112">
        <v>8</v>
      </c>
      <c r="K62" s="112" t="s">
        <v>187</v>
      </c>
    </row>
  </sheetData>
  <sheetProtection password="DDB7" sheet="1" objects="1" scenarios="1"/>
  <mergeCells count="5">
    <mergeCell ref="C58:K60"/>
    <mergeCell ref="C38:K39"/>
    <mergeCell ref="C43:K44"/>
    <mergeCell ref="C48:K49"/>
    <mergeCell ref="C53:K54"/>
  </mergeCells>
  <printOptions/>
  <pageMargins left="0.75" right="0.75" top="1" bottom="1" header="0.5" footer="0.5"/>
  <pageSetup horizontalDpi="1200" verticalDpi="1200" orientation="portrait" r:id="rId4"/>
  <drawing r:id="rId3"/>
  <legacyDrawing r:id="rId2"/>
  <oleObjects>
    <oleObject progId="Equation.3" shapeId="26222124" r:id="rId1"/>
  </oleObjects>
</worksheet>
</file>

<file path=xl/worksheets/sheet4.xml><?xml version="1.0" encoding="utf-8"?>
<worksheet xmlns="http://schemas.openxmlformats.org/spreadsheetml/2006/main" xmlns:r="http://schemas.openxmlformats.org/officeDocument/2006/relationships">
  <sheetPr>
    <pageSetUpPr fitToPage="1"/>
  </sheetPr>
  <dimension ref="A2:Q62"/>
  <sheetViews>
    <sheetView zoomScalePageLayoutView="0" workbookViewId="0" topLeftCell="A1">
      <selection activeCell="E4" sqref="E4"/>
    </sheetView>
  </sheetViews>
  <sheetFormatPr defaultColWidth="9.140625" defaultRowHeight="12.75"/>
  <cols>
    <col min="1" max="1" width="9.140625" style="1" customWidth="1"/>
    <col min="2" max="2" width="5.00390625" style="1" customWidth="1"/>
    <col min="3" max="12" width="9.140625" style="1" customWidth="1"/>
    <col min="13" max="13" width="2.00390625" style="1" customWidth="1"/>
    <col min="14" max="16384" width="9.140625" style="1" customWidth="1"/>
  </cols>
  <sheetData>
    <row r="1" ht="12.75"/>
    <row r="2" ht="12.75">
      <c r="E2" s="108" t="s">
        <v>215</v>
      </c>
    </row>
    <row r="3" ht="12.75">
      <c r="E3" s="108" t="s">
        <v>219</v>
      </c>
    </row>
    <row r="4" ht="12.75"/>
    <row r="5" ht="12.75"/>
    <row r="6" ht="12.75">
      <c r="A6" s="1" t="s">
        <v>188</v>
      </c>
    </row>
    <row r="7" ht="12.75"/>
    <row r="8" ht="12.75"/>
    <row r="9" ht="12.75"/>
    <row r="10" ht="12.75"/>
    <row r="11" spans="3:4" ht="12.75">
      <c r="C11" s="5">
        <v>120</v>
      </c>
      <c r="D11" s="1" t="s">
        <v>10</v>
      </c>
    </row>
    <row r="12" ht="12.75"/>
    <row r="13" ht="12.75"/>
    <row r="14" ht="12.75"/>
    <row r="15" ht="12.75"/>
    <row r="16" ht="12.75"/>
    <row r="17" ht="12.75"/>
    <row r="18" ht="12.75"/>
    <row r="19" spans="6:7" ht="12.75">
      <c r="F19" s="18">
        <v>1200</v>
      </c>
      <c r="G19" s="1" t="s">
        <v>2</v>
      </c>
    </row>
    <row r="20" spans="6:7" ht="12.75">
      <c r="F20" s="19">
        <v>0.85</v>
      </c>
      <c r="G20" s="1" t="s">
        <v>55</v>
      </c>
    </row>
    <row r="21" spans="6:7" ht="12.75">
      <c r="F21" s="19">
        <v>0.7</v>
      </c>
      <c r="G21" s="1" t="s">
        <v>56</v>
      </c>
    </row>
    <row r="22" ht="12.75"/>
    <row r="24" spans="1:12" ht="15">
      <c r="A24" s="20" t="s">
        <v>57</v>
      </c>
      <c r="G24" s="21">
        <f>ROUND(F19*C11/3956,1)</f>
        <v>36.4</v>
      </c>
      <c r="H24" s="1" t="s">
        <v>59</v>
      </c>
      <c r="J24" s="1" t="s">
        <v>60</v>
      </c>
      <c r="K24" s="5">
        <v>8</v>
      </c>
      <c r="L24" s="1" t="s">
        <v>61</v>
      </c>
    </row>
    <row r="25" spans="1:12" ht="12.75">
      <c r="A25" s="22"/>
      <c r="G25" s="21"/>
      <c r="K25" s="5">
        <v>7</v>
      </c>
      <c r="L25" s="1" t="s">
        <v>62</v>
      </c>
    </row>
    <row r="26" spans="1:11" ht="15">
      <c r="A26" s="20" t="s">
        <v>58</v>
      </c>
      <c r="G26" s="21">
        <f>ROUND(G24/F21,1)</f>
        <v>52</v>
      </c>
      <c r="H26" s="1" t="s">
        <v>59</v>
      </c>
      <c r="K26" s="109"/>
    </row>
    <row r="27" spans="1:11" ht="12.75">
      <c r="A27" s="22"/>
      <c r="G27" s="21"/>
      <c r="J27" s="1" t="s">
        <v>63</v>
      </c>
      <c r="K27" s="109"/>
    </row>
    <row r="28" spans="1:12" ht="15">
      <c r="A28" s="20" t="s">
        <v>184</v>
      </c>
      <c r="G28" s="21">
        <f>ROUND(G26/F20,1)</f>
        <v>61.2</v>
      </c>
      <c r="H28" s="1" t="s">
        <v>59</v>
      </c>
      <c r="K28" s="5">
        <v>0.07</v>
      </c>
      <c r="L28" s="1" t="s">
        <v>64</v>
      </c>
    </row>
    <row r="31" spans="1:11" ht="12.75">
      <c r="A31" s="1" t="s">
        <v>40</v>
      </c>
      <c r="C31" s="133" t="str">
        <f>CONCATENATE("Water is being pumped from a reservoir uphill ",C11," to a storage tank.  Calculate the Brake Horsepower if the pump rate is ",F19," gpm.")</f>
        <v>Water is being pumped from a reservoir uphill 120 to a storage tank.  Calculate the Brake Horsepower if the pump rate is 1200 gpm.</v>
      </c>
      <c r="D31" s="134"/>
      <c r="E31" s="134"/>
      <c r="F31" s="134"/>
      <c r="G31" s="134"/>
      <c r="H31" s="134"/>
      <c r="I31" s="134"/>
      <c r="J31" s="134"/>
      <c r="K31" s="135"/>
    </row>
    <row r="32" spans="3:11" ht="12.75">
      <c r="C32" s="143"/>
      <c r="D32" s="144"/>
      <c r="E32" s="144"/>
      <c r="F32" s="144"/>
      <c r="G32" s="144"/>
      <c r="H32" s="144"/>
      <c r="I32" s="144"/>
      <c r="J32" s="144"/>
      <c r="K32" s="145"/>
    </row>
    <row r="33" spans="1:11" ht="12.75">
      <c r="A33" s="1" t="s">
        <v>13</v>
      </c>
      <c r="C33" s="136"/>
      <c r="D33" s="137"/>
      <c r="E33" s="137"/>
      <c r="F33" s="137"/>
      <c r="G33" s="137"/>
      <c r="H33" s="137"/>
      <c r="I33" s="137"/>
      <c r="J33" s="137"/>
      <c r="K33" s="138"/>
    </row>
    <row r="35" spans="3:5" ht="12.75">
      <c r="C35" s="1" t="s">
        <v>41</v>
      </c>
      <c r="D35" s="23">
        <f>G26</f>
        <v>52</v>
      </c>
      <c r="E35" s="1" t="s">
        <v>59</v>
      </c>
    </row>
    <row r="37" spans="1:11" ht="12.75">
      <c r="A37" s="1" t="s">
        <v>42</v>
      </c>
      <c r="C37" s="133" t="str">
        <f>CONCATENATE("A 25 horsepower pump is used to dewater a lake.  If the pump runs for ",K24," hours a day for ",K25," days a week, how much will it cost to run the pump per week?  Assume energy costs of ",K28," dollars per kilowatt hour.")</f>
        <v>A 25 horsepower pump is used to dewater a lake.  If the pump runs for 8 hours a day for 7 days a week, how much will it cost to run the pump per week?  Assume energy costs of 0.07 dollars per kilowatt hour.</v>
      </c>
      <c r="D37" s="134"/>
      <c r="E37" s="134"/>
      <c r="F37" s="134"/>
      <c r="G37" s="134"/>
      <c r="H37" s="134"/>
      <c r="I37" s="134"/>
      <c r="J37" s="134"/>
      <c r="K37" s="135"/>
    </row>
    <row r="38" spans="3:11" ht="12.75">
      <c r="C38" s="143"/>
      <c r="D38" s="144"/>
      <c r="E38" s="144"/>
      <c r="F38" s="144"/>
      <c r="G38" s="144"/>
      <c r="H38" s="144"/>
      <c r="I38" s="144"/>
      <c r="J38" s="144"/>
      <c r="K38" s="145"/>
    </row>
    <row r="39" spans="3:11" ht="12.75">
      <c r="C39" s="136"/>
      <c r="D39" s="137"/>
      <c r="E39" s="137"/>
      <c r="F39" s="137"/>
      <c r="G39" s="137"/>
      <c r="H39" s="137"/>
      <c r="I39" s="137"/>
      <c r="J39" s="137"/>
      <c r="K39" s="138"/>
    </row>
    <row r="41" spans="3:5" ht="12.75">
      <c r="C41" s="1" t="s">
        <v>41</v>
      </c>
      <c r="D41" s="32">
        <f>N43</f>
        <v>73.108</v>
      </c>
      <c r="E41" s="1" t="s">
        <v>13</v>
      </c>
    </row>
    <row r="43" spans="3:15" ht="12.75">
      <c r="C43" s="34">
        <v>25</v>
      </c>
      <c r="D43" s="24" t="s">
        <v>59</v>
      </c>
      <c r="E43" s="28">
        <v>0.746</v>
      </c>
      <c r="F43" s="120" t="s">
        <v>216</v>
      </c>
      <c r="G43" s="30">
        <f>K28</f>
        <v>0.07</v>
      </c>
      <c r="H43" s="120" t="s">
        <v>65</v>
      </c>
      <c r="I43" s="30">
        <f>K24</f>
        <v>8</v>
      </c>
      <c r="J43" s="120" t="s">
        <v>217</v>
      </c>
      <c r="K43" s="29">
        <f>K25</f>
        <v>7</v>
      </c>
      <c r="L43" s="25" t="s">
        <v>70</v>
      </c>
      <c r="N43" s="36">
        <f>C43*E43*I43*K43*G43</f>
        <v>73.108</v>
      </c>
      <c r="O43" s="1" t="s">
        <v>13</v>
      </c>
    </row>
    <row r="44" spans="4:14" ht="12.75">
      <c r="D44" s="108" t="s">
        <v>13</v>
      </c>
      <c r="E44" s="26">
        <v>1</v>
      </c>
      <c r="F44" s="27" t="s">
        <v>59</v>
      </c>
      <c r="G44" s="1">
        <v>1</v>
      </c>
      <c r="H44" s="121" t="s">
        <v>66</v>
      </c>
      <c r="I44" s="101">
        <v>1</v>
      </c>
      <c r="J44" s="121" t="s">
        <v>69</v>
      </c>
      <c r="K44" s="1">
        <v>1</v>
      </c>
      <c r="L44" s="27" t="s">
        <v>71</v>
      </c>
      <c r="N44" s="12" t="s">
        <v>71</v>
      </c>
    </row>
    <row r="46" ht="12.75">
      <c r="C46" s="1" t="s">
        <v>72</v>
      </c>
    </row>
    <row r="48" spans="3:15" ht="12.75">
      <c r="C48" s="33">
        <f>C43</f>
        <v>25</v>
      </c>
      <c r="D48" s="24" t="s">
        <v>59</v>
      </c>
      <c r="E48" s="28">
        <v>0.746</v>
      </c>
      <c r="F48" s="120" t="s">
        <v>216</v>
      </c>
      <c r="G48" s="30">
        <f>G43</f>
        <v>0.07</v>
      </c>
      <c r="H48" s="25" t="s">
        <v>65</v>
      </c>
      <c r="I48" s="29">
        <f>I43</f>
        <v>8</v>
      </c>
      <c r="J48" s="25" t="s">
        <v>68</v>
      </c>
      <c r="K48" s="29">
        <f>K43</f>
        <v>7</v>
      </c>
      <c r="L48" s="25" t="s">
        <v>70</v>
      </c>
      <c r="N48" s="36">
        <f>C48*E48*I48*K48*G48</f>
        <v>73.108</v>
      </c>
      <c r="O48" s="1" t="s">
        <v>13</v>
      </c>
    </row>
    <row r="49" spans="4:14" ht="12.75">
      <c r="D49" s="108" t="s">
        <v>13</v>
      </c>
      <c r="E49" s="26">
        <v>1</v>
      </c>
      <c r="F49" s="27" t="s">
        <v>59</v>
      </c>
      <c r="G49" s="1">
        <v>1</v>
      </c>
      <c r="H49" s="27" t="s">
        <v>73</v>
      </c>
      <c r="I49" s="1">
        <v>1</v>
      </c>
      <c r="J49" s="27" t="s">
        <v>69</v>
      </c>
      <c r="K49" s="1">
        <v>1</v>
      </c>
      <c r="L49" s="27" t="s">
        <v>71</v>
      </c>
      <c r="N49" s="12" t="s">
        <v>71</v>
      </c>
    </row>
    <row r="53" spans="1:11" ht="12.75">
      <c r="A53" s="1" t="s">
        <v>46</v>
      </c>
      <c r="C53" s="133" t="str">
        <f>CONCATENATE("Calculate the water horsepower required for a pump to raise water ",C11," feet at a rate of ",F19," gallons per minute.  If the pump runs for ",K24," hours a day for ",K25," days a week, how much will it cost to run the pump for one year?  Assume energy costs of ",K28," dollars per kilowatt hour.")</f>
        <v>Calculate the water horsepower required for a pump to raise water 120 feet at a rate of 1200 gallons per minute.  If the pump runs for 8 hours a day for 7 days a week, how much will it cost to run the pump for one year?  Assume energy costs of 0.07 dollars per kilowatt hour.</v>
      </c>
      <c r="D53" s="134"/>
      <c r="E53" s="134"/>
      <c r="F53" s="134"/>
      <c r="G53" s="134"/>
      <c r="H53" s="134"/>
      <c r="I53" s="134"/>
      <c r="J53" s="134"/>
      <c r="K53" s="135"/>
    </row>
    <row r="54" spans="3:11" ht="12.75">
      <c r="C54" s="143"/>
      <c r="D54" s="144"/>
      <c r="E54" s="144"/>
      <c r="F54" s="144"/>
      <c r="G54" s="144"/>
      <c r="H54" s="144"/>
      <c r="I54" s="144"/>
      <c r="J54" s="144"/>
      <c r="K54" s="145"/>
    </row>
    <row r="55" spans="3:11" ht="12.75">
      <c r="C55" s="136"/>
      <c r="D55" s="137"/>
      <c r="E55" s="137"/>
      <c r="F55" s="137"/>
      <c r="G55" s="137"/>
      <c r="H55" s="137"/>
      <c r="I55" s="137"/>
      <c r="J55" s="137"/>
      <c r="K55" s="138"/>
    </row>
    <row r="57" spans="3:5" ht="12.75">
      <c r="C57" s="1" t="s">
        <v>41</v>
      </c>
      <c r="D57" s="23">
        <f>G24</f>
        <v>36.4</v>
      </c>
      <c r="E57" s="1" t="s">
        <v>59</v>
      </c>
    </row>
    <row r="59" spans="3:4" ht="12.75">
      <c r="C59" s="1" t="s">
        <v>41</v>
      </c>
      <c r="D59" s="31">
        <f>N61</f>
        <v>5535.152896</v>
      </c>
    </row>
    <row r="61" spans="1:17" ht="12.75">
      <c r="A61" s="37">
        <f>D57</f>
        <v>36.4</v>
      </c>
      <c r="B61" s="24" t="s">
        <v>59</v>
      </c>
      <c r="C61" s="28">
        <v>0.746</v>
      </c>
      <c r="D61" s="25" t="s">
        <v>66</v>
      </c>
      <c r="E61" s="29">
        <f>K24</f>
        <v>8</v>
      </c>
      <c r="F61" s="25" t="s">
        <v>68</v>
      </c>
      <c r="G61" s="29">
        <f>K25</f>
        <v>7</v>
      </c>
      <c r="H61" s="25" t="s">
        <v>70</v>
      </c>
      <c r="I61" s="29">
        <v>52</v>
      </c>
      <c r="J61" s="25" t="s">
        <v>74</v>
      </c>
      <c r="K61" s="29">
        <f>K28</f>
        <v>0.07</v>
      </c>
      <c r="L61" s="25" t="s">
        <v>65</v>
      </c>
      <c r="N61" s="36">
        <f>A61*C61*E61*G61*I61*K61</f>
        <v>5535.152896</v>
      </c>
      <c r="Q61" s="1" t="s">
        <v>13</v>
      </c>
    </row>
    <row r="62" spans="2:14" ht="12.75">
      <c r="B62" s="1" t="s">
        <v>67</v>
      </c>
      <c r="C62" s="26">
        <v>1</v>
      </c>
      <c r="D62" s="27" t="s">
        <v>59</v>
      </c>
      <c r="E62" s="1">
        <v>1</v>
      </c>
      <c r="F62" s="27" t="s">
        <v>69</v>
      </c>
      <c r="G62" s="1">
        <v>1</v>
      </c>
      <c r="H62" s="27" t="s">
        <v>71</v>
      </c>
      <c r="I62" s="35">
        <v>1</v>
      </c>
      <c r="J62" s="27" t="s">
        <v>75</v>
      </c>
      <c r="K62" s="1">
        <v>1</v>
      </c>
      <c r="L62" s="27" t="s">
        <v>73</v>
      </c>
      <c r="N62" s="12" t="s">
        <v>75</v>
      </c>
    </row>
  </sheetData>
  <sheetProtection password="DDB7" sheet="1" objects="1" scenarios="1"/>
  <mergeCells count="3">
    <mergeCell ref="C31:K33"/>
    <mergeCell ref="C37:K39"/>
    <mergeCell ref="C53:K55"/>
  </mergeCells>
  <printOptions/>
  <pageMargins left="0.75" right="0.75" top="1" bottom="1" header="0.5" footer="0.5"/>
  <pageSetup fitToHeight="10" fitToWidth="1" horizontalDpi="600" verticalDpi="600" orientation="portrait"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L138"/>
  <sheetViews>
    <sheetView zoomScalePageLayoutView="0" workbookViewId="0" topLeftCell="A1">
      <selection activeCell="D4" sqref="D4"/>
    </sheetView>
  </sheetViews>
  <sheetFormatPr defaultColWidth="9.140625" defaultRowHeight="12.75"/>
  <cols>
    <col min="1" max="4" width="9.140625" style="1" customWidth="1"/>
    <col min="5" max="5" width="5.00390625" style="1" customWidth="1"/>
    <col min="6" max="6" width="4.8515625" style="1" customWidth="1"/>
    <col min="7" max="8" width="9.140625" style="1" customWidth="1"/>
    <col min="9" max="9" width="4.140625" style="1" customWidth="1"/>
    <col min="10" max="16384" width="9.140625" style="1" customWidth="1"/>
  </cols>
  <sheetData>
    <row r="1" ht="12.75"/>
    <row r="2" ht="12.75">
      <c r="D2" s="108" t="s">
        <v>215</v>
      </c>
    </row>
    <row r="3" ht="12.75">
      <c r="D3" s="108" t="s">
        <v>219</v>
      </c>
    </row>
    <row r="4" ht="12.75"/>
    <row r="5" ht="12.75"/>
    <row r="6" ht="12.75">
      <c r="A6" s="4" t="s">
        <v>107</v>
      </c>
    </row>
    <row r="7" ht="12.75">
      <c r="A7" s="1" t="s">
        <v>188</v>
      </c>
    </row>
    <row r="8" ht="12.75"/>
    <row r="9" ht="12.75"/>
    <row r="10" ht="12.75"/>
    <row r="11" ht="12.75">
      <c r="G11" s="1" t="s">
        <v>108</v>
      </c>
    </row>
    <row r="12" spans="7:8" ht="12.75">
      <c r="G12" s="5">
        <v>150</v>
      </c>
      <c r="H12" s="1" t="s">
        <v>109</v>
      </c>
    </row>
    <row r="13" ht="12.75">
      <c r="I13" s="1" t="s">
        <v>110</v>
      </c>
    </row>
    <row r="14" ht="12.75">
      <c r="I14" s="1" t="s">
        <v>111</v>
      </c>
    </row>
    <row r="15" spans="2:5" ht="12.75">
      <c r="B15" s="5">
        <v>1000</v>
      </c>
      <c r="D15" s="96">
        <v>20</v>
      </c>
      <c r="E15" s="86" t="s">
        <v>5</v>
      </c>
    </row>
    <row r="16" ht="12.75">
      <c r="B16" s="12" t="s">
        <v>5</v>
      </c>
    </row>
    <row r="17" ht="12.75">
      <c r="E17" s="86"/>
    </row>
    <row r="18" ht="12.75">
      <c r="E18" s="86"/>
    </row>
    <row r="19" ht="12.75"/>
    <row r="20" ht="12.75"/>
    <row r="21" ht="12.75"/>
    <row r="22" spans="1:12" ht="12.75">
      <c r="A22" s="1" t="s">
        <v>40</v>
      </c>
      <c r="C22" s="133" t="str">
        <f>CONCATENATE("A wastewater treatment plant operator is preparing to run the Hach Nessler Ammonia test.  For the test, they need a ",D15," mg/L standard.  Looking around the laboratory, they find a ",G12," mL volumetric flask and a stock standard solution.  The stock concentration is ",B15," mg/L.  How much stock standard should be added to the volumetric flask to achieve the desired concentration?  Assume that the remaining volume of the flask will be filled with purified water.")</f>
        <v>A wastewater treatment plant operator is preparing to run the Hach Nessler Ammonia test.  For the test, they need a 20 mg/L standard.  Looking around the laboratory, they find a 150 mL volumetric flask and a stock standard solution.  The stock concentration is 1000 mg/L.  How much stock standard should be added to the volumetric flask to achieve the desired concentration?  Assume that the remaining volume of the flask will be filled with purified water.</v>
      </c>
      <c r="D22" s="134"/>
      <c r="E22" s="134"/>
      <c r="F22" s="134"/>
      <c r="G22" s="134"/>
      <c r="H22" s="134"/>
      <c r="I22" s="134"/>
      <c r="J22" s="134"/>
      <c r="K22" s="134"/>
      <c r="L22" s="135"/>
    </row>
    <row r="23" spans="3:12" ht="12.75">
      <c r="C23" s="143"/>
      <c r="D23" s="144"/>
      <c r="E23" s="144"/>
      <c r="F23" s="144"/>
      <c r="G23" s="144"/>
      <c r="H23" s="144"/>
      <c r="I23" s="144"/>
      <c r="J23" s="144"/>
      <c r="K23" s="144"/>
      <c r="L23" s="145"/>
    </row>
    <row r="24" spans="3:12" ht="12.75">
      <c r="C24" s="143"/>
      <c r="D24" s="144"/>
      <c r="E24" s="144"/>
      <c r="F24" s="144"/>
      <c r="G24" s="144"/>
      <c r="H24" s="144"/>
      <c r="I24" s="144"/>
      <c r="J24" s="144"/>
      <c r="K24" s="144"/>
      <c r="L24" s="145"/>
    </row>
    <row r="25" spans="2:12" ht="12.75">
      <c r="B25" s="1" t="s">
        <v>13</v>
      </c>
      <c r="C25" s="143"/>
      <c r="D25" s="144"/>
      <c r="E25" s="144"/>
      <c r="F25" s="144"/>
      <c r="G25" s="144"/>
      <c r="H25" s="144"/>
      <c r="I25" s="144"/>
      <c r="J25" s="144"/>
      <c r="K25" s="144"/>
      <c r="L25" s="145"/>
    </row>
    <row r="26" spans="3:12" ht="12.75">
      <c r="C26" s="136"/>
      <c r="D26" s="137"/>
      <c r="E26" s="137"/>
      <c r="F26" s="137"/>
      <c r="G26" s="137"/>
      <c r="H26" s="137"/>
      <c r="I26" s="137"/>
      <c r="J26" s="137"/>
      <c r="K26" s="137"/>
      <c r="L26" s="138"/>
    </row>
    <row r="27" spans="3:12" ht="12.75">
      <c r="C27" s="10"/>
      <c r="D27" s="10"/>
      <c r="E27" s="10"/>
      <c r="F27" s="10"/>
      <c r="G27" s="10"/>
      <c r="H27" s="10"/>
      <c r="I27" s="10"/>
      <c r="J27" s="10"/>
      <c r="K27" s="10"/>
      <c r="L27" s="10"/>
    </row>
    <row r="28" spans="3:12" ht="12.75">
      <c r="C28" s="10" t="s">
        <v>41</v>
      </c>
      <c r="D28" s="91">
        <f>(D15*G12)/B15</f>
        <v>3</v>
      </c>
      <c r="E28" s="11" t="s">
        <v>109</v>
      </c>
      <c r="F28" s="10"/>
      <c r="G28" s="10"/>
      <c r="H28" s="10"/>
      <c r="I28" s="10"/>
      <c r="J28" s="10"/>
      <c r="K28" s="10"/>
      <c r="L28" s="10"/>
    </row>
    <row r="29" ht="12.75"/>
    <row r="30" spans="1:12" ht="12.75">
      <c r="A30" s="1" t="s">
        <v>42</v>
      </c>
      <c r="C30" s="133" t="str">
        <f>CONCATENATE("An arsenic standard is left sitting out on the counter without a lid for several days.  In the beginning, the bottle had ",G12," mL of a ",E17," mg/L solution.  After four days, the bottle only contained ",F35," mL.  What was the concentration of arsenic after four days?")</f>
        <v>An arsenic standard is left sitting out on the counter without a lid for several days.  In the beginning, the bottle had 150 mL of a  mg/L solution.  After four days, the bottle only contained 125 mL.  What was the concentration of arsenic after four days?</v>
      </c>
      <c r="D30" s="134"/>
      <c r="E30" s="134"/>
      <c r="F30" s="134"/>
      <c r="G30" s="134"/>
      <c r="H30" s="134"/>
      <c r="I30" s="134"/>
      <c r="J30" s="134"/>
      <c r="K30" s="134"/>
      <c r="L30" s="135"/>
    </row>
    <row r="31" spans="3:12" ht="12.75">
      <c r="C31" s="143"/>
      <c r="D31" s="144"/>
      <c r="E31" s="144"/>
      <c r="F31" s="144"/>
      <c r="G31" s="144"/>
      <c r="H31" s="144"/>
      <c r="I31" s="144"/>
      <c r="J31" s="144"/>
      <c r="K31" s="144"/>
      <c r="L31" s="145"/>
    </row>
    <row r="32" spans="3:12" ht="12.75">
      <c r="C32" s="143"/>
      <c r="D32" s="144"/>
      <c r="E32" s="144"/>
      <c r="F32" s="144"/>
      <c r="G32" s="144"/>
      <c r="H32" s="144"/>
      <c r="I32" s="144"/>
      <c r="J32" s="144"/>
      <c r="K32" s="144"/>
      <c r="L32" s="145"/>
    </row>
    <row r="33" spans="3:12" ht="12.75">
      <c r="C33" s="136"/>
      <c r="D33" s="137"/>
      <c r="E33" s="137"/>
      <c r="F33" s="137"/>
      <c r="G33" s="137"/>
      <c r="H33" s="137"/>
      <c r="I33" s="137"/>
      <c r="J33" s="137"/>
      <c r="K33" s="137"/>
      <c r="L33" s="138"/>
    </row>
    <row r="34" ht="12.75"/>
    <row r="35" spans="3:7" ht="12.75">
      <c r="C35" s="1" t="s">
        <v>112</v>
      </c>
      <c r="F35" s="5">
        <v>125</v>
      </c>
      <c r="G35" s="1" t="s">
        <v>109</v>
      </c>
    </row>
    <row r="36" ht="12.75"/>
    <row r="37" spans="3:5" ht="12.75">
      <c r="C37" s="1" t="s">
        <v>41</v>
      </c>
      <c r="D37" s="92">
        <f>(G12*D15)/F35</f>
        <v>24</v>
      </c>
      <c r="E37" s="1" t="s">
        <v>5</v>
      </c>
    </row>
    <row r="38" ht="12.75"/>
    <row r="39" ht="12.75">
      <c r="A39" s="4" t="s">
        <v>113</v>
      </c>
    </row>
    <row r="40" ht="12.75"/>
    <row r="41" ht="12.75"/>
    <row r="42" ht="12.75"/>
    <row r="43" ht="12.75"/>
    <row r="44" ht="12.75"/>
    <row r="45" ht="12.75">
      <c r="C45" s="12" t="s">
        <v>114</v>
      </c>
    </row>
    <row r="46" ht="12.75">
      <c r="C46" s="41" t="str">
        <f>C56</f>
        <v>Polymer</v>
      </c>
    </row>
    <row r="47" ht="12.75"/>
    <row r="48" ht="12.75"/>
    <row r="49" ht="12.75"/>
    <row r="50" ht="12.75">
      <c r="F50" s="1" t="s">
        <v>115</v>
      </c>
    </row>
    <row r="51" ht="12.75"/>
    <row r="52" ht="12.75">
      <c r="F52" s="1" t="s">
        <v>13</v>
      </c>
    </row>
    <row r="55" spans="2:10" ht="12.75">
      <c r="B55" s="4" t="s">
        <v>116</v>
      </c>
      <c r="F55" s="4" t="s">
        <v>117</v>
      </c>
      <c r="J55" s="4" t="s">
        <v>118</v>
      </c>
    </row>
    <row r="56" spans="2:12" ht="12.75">
      <c r="B56" s="1" t="s">
        <v>119</v>
      </c>
      <c r="C56" s="5" t="s">
        <v>161</v>
      </c>
      <c r="F56" s="1" t="s">
        <v>126</v>
      </c>
      <c r="G56" s="8">
        <f>ROUND((K57*K59)/C58,1)</f>
        <v>4.3</v>
      </c>
      <c r="H56" s="1" t="s">
        <v>2</v>
      </c>
      <c r="J56" s="1" t="s">
        <v>128</v>
      </c>
      <c r="K56" s="5">
        <v>5</v>
      </c>
      <c r="L56" s="1" t="s">
        <v>15</v>
      </c>
    </row>
    <row r="57" spans="2:12" ht="12.75">
      <c r="B57" s="2" t="s">
        <v>120</v>
      </c>
      <c r="C57" s="5">
        <v>2</v>
      </c>
      <c r="D57" s="1" t="s">
        <v>18</v>
      </c>
      <c r="G57" s="8">
        <f>G56*1440</f>
        <v>6192</v>
      </c>
      <c r="H57" s="1" t="s">
        <v>127</v>
      </c>
      <c r="K57" s="6">
        <f>ROUND(K56*10^6/1440,2)</f>
        <v>3472.22</v>
      </c>
      <c r="L57" s="1" t="s">
        <v>2</v>
      </c>
    </row>
    <row r="58" spans="3:12" ht="12.75">
      <c r="C58" s="8">
        <f>ROUND(C57*10000,0)</f>
        <v>20000</v>
      </c>
      <c r="D58" s="1" t="s">
        <v>5</v>
      </c>
      <c r="G58" s="8">
        <f>ROUND(G57/10^6,3)</f>
        <v>0.006</v>
      </c>
      <c r="H58" s="1" t="s">
        <v>15</v>
      </c>
      <c r="K58" s="94">
        <f>ROUND(K57/60/7.48,2)</f>
        <v>7.74</v>
      </c>
      <c r="L58" s="1" t="s">
        <v>85</v>
      </c>
    </row>
    <row r="59" spans="2:12" ht="12.75">
      <c r="B59" s="2" t="s">
        <v>121</v>
      </c>
      <c r="C59" s="5">
        <v>35</v>
      </c>
      <c r="D59" s="1" t="s">
        <v>124</v>
      </c>
      <c r="J59" s="1" t="s">
        <v>129</v>
      </c>
      <c r="K59" s="5">
        <v>25</v>
      </c>
      <c r="L59" s="1" t="s">
        <v>5</v>
      </c>
    </row>
    <row r="60" spans="2:4" ht="12.75">
      <c r="B60" s="2" t="s">
        <v>122</v>
      </c>
      <c r="C60" s="5">
        <v>10</v>
      </c>
      <c r="D60" s="1" t="s">
        <v>124</v>
      </c>
    </row>
    <row r="61" spans="2:4" ht="12.75">
      <c r="B61" s="2" t="s">
        <v>123</v>
      </c>
      <c r="C61" s="93">
        <f>ROUND(PI()*(C59/2)^2*C60,2)</f>
        <v>9621.13</v>
      </c>
      <c r="D61" s="1" t="s">
        <v>125</v>
      </c>
    </row>
    <row r="62" spans="2:4" ht="12.75">
      <c r="B62" s="1" t="s">
        <v>13</v>
      </c>
      <c r="C62" s="93">
        <f>ROUND(C61*7.48,2)</f>
        <v>71966.05</v>
      </c>
      <c r="D62" s="1" t="s">
        <v>21</v>
      </c>
    </row>
    <row r="64" spans="1:12" ht="12.75">
      <c r="A64" s="1" t="s">
        <v>40</v>
      </c>
      <c r="C64" s="133" t="str">
        <f>CONCATENATE("Some ",C56," is being added to precipitate phosphorus.  It is added in the pipeline between the aeration basins and secondary clarifiers.  The target dose is ",K59," mg/L and the influent flow rate is ",K58," cfs.  If the raw chemical in the feeder tank is ",C58," mg/L, what should the pump rate be, in gpm, to acheive the desired dose?")</f>
        <v>Some Polymer is being added to precipitate phosphorus.  It is added in the pipeline between the aeration basins and secondary clarifiers.  The target dose is 25 mg/L and the influent flow rate is 7.74 cfs.  If the raw chemical in the feeder tank is 20000 mg/L, what should the pump rate be, in gpm, to acheive the desired dose?</v>
      </c>
      <c r="D64" s="134"/>
      <c r="E64" s="134"/>
      <c r="F64" s="134"/>
      <c r="G64" s="134"/>
      <c r="H64" s="134"/>
      <c r="I64" s="134"/>
      <c r="J64" s="134"/>
      <c r="K64" s="134"/>
      <c r="L64" s="135"/>
    </row>
    <row r="65" spans="3:12" ht="12.75">
      <c r="C65" s="143"/>
      <c r="D65" s="144"/>
      <c r="E65" s="144"/>
      <c r="F65" s="144"/>
      <c r="G65" s="144"/>
      <c r="H65" s="144"/>
      <c r="I65" s="144"/>
      <c r="J65" s="144"/>
      <c r="K65" s="144"/>
      <c r="L65" s="145"/>
    </row>
    <row r="66" spans="3:12" ht="12.75">
      <c r="C66" s="143"/>
      <c r="D66" s="144"/>
      <c r="E66" s="144"/>
      <c r="F66" s="144"/>
      <c r="G66" s="144"/>
      <c r="H66" s="144"/>
      <c r="I66" s="144"/>
      <c r="J66" s="144"/>
      <c r="K66" s="144"/>
      <c r="L66" s="145"/>
    </row>
    <row r="67" spans="2:12" ht="12.75">
      <c r="B67" s="1" t="s">
        <v>13</v>
      </c>
      <c r="C67" s="143"/>
      <c r="D67" s="144"/>
      <c r="E67" s="144"/>
      <c r="F67" s="144"/>
      <c r="G67" s="144"/>
      <c r="H67" s="144"/>
      <c r="I67" s="144"/>
      <c r="J67" s="144"/>
      <c r="K67" s="144"/>
      <c r="L67" s="145"/>
    </row>
    <row r="68" spans="3:12" ht="12.75">
      <c r="C68" s="136"/>
      <c r="D68" s="137"/>
      <c r="E68" s="137"/>
      <c r="F68" s="137"/>
      <c r="G68" s="137"/>
      <c r="H68" s="137"/>
      <c r="I68" s="137"/>
      <c r="J68" s="137"/>
      <c r="K68" s="137"/>
      <c r="L68" s="138"/>
    </row>
    <row r="69" spans="3:12" ht="12.75">
      <c r="C69" s="10"/>
      <c r="D69" s="10"/>
      <c r="E69" s="10"/>
      <c r="F69" s="10"/>
      <c r="G69" s="10"/>
      <c r="H69" s="10"/>
      <c r="I69" s="10"/>
      <c r="J69" s="10"/>
      <c r="K69" s="10"/>
      <c r="L69" s="10"/>
    </row>
    <row r="70" spans="3:12" ht="12.75">
      <c r="C70" s="10" t="s">
        <v>41</v>
      </c>
      <c r="D70" s="91">
        <f>(K59*K57)/C58</f>
        <v>4.340275</v>
      </c>
      <c r="E70" s="11" t="s">
        <v>2</v>
      </c>
      <c r="F70" s="10"/>
      <c r="G70" s="10"/>
      <c r="H70" s="10"/>
      <c r="I70" s="10"/>
      <c r="J70" s="10"/>
      <c r="K70" s="10"/>
      <c r="L70" s="10"/>
    </row>
    <row r="71" spans="3:12" ht="12.75">
      <c r="C71" s="10"/>
      <c r="D71" s="91"/>
      <c r="E71" s="11"/>
      <c r="F71" s="10"/>
      <c r="G71" s="10"/>
      <c r="H71" s="10"/>
      <c r="I71" s="10"/>
      <c r="J71" s="10"/>
      <c r="K71" s="10"/>
      <c r="L71" s="10"/>
    </row>
    <row r="73" spans="1:12" ht="12.75">
      <c r="A73" s="1" t="s">
        <v>42</v>
      </c>
      <c r="C73" s="133" t="s">
        <v>131</v>
      </c>
      <c r="D73" s="134"/>
      <c r="E73" s="134"/>
      <c r="F73" s="134"/>
      <c r="G73" s="134"/>
      <c r="H73" s="134"/>
      <c r="I73" s="134"/>
      <c r="J73" s="134"/>
      <c r="K73" s="134"/>
      <c r="L73" s="135"/>
    </row>
    <row r="74" spans="3:12" ht="12.75">
      <c r="C74" s="143"/>
      <c r="D74" s="144"/>
      <c r="E74" s="144"/>
      <c r="F74" s="144"/>
      <c r="G74" s="144"/>
      <c r="H74" s="144"/>
      <c r="I74" s="144"/>
      <c r="J74" s="144"/>
      <c r="K74" s="144"/>
      <c r="L74" s="145"/>
    </row>
    <row r="75" spans="3:12" ht="12.75">
      <c r="C75" s="143"/>
      <c r="D75" s="144"/>
      <c r="E75" s="144"/>
      <c r="F75" s="144"/>
      <c r="G75" s="144"/>
      <c r="H75" s="144"/>
      <c r="I75" s="144"/>
      <c r="J75" s="144"/>
      <c r="K75" s="144"/>
      <c r="L75" s="145"/>
    </row>
    <row r="76" spans="3:12" ht="12.75">
      <c r="C76" s="136"/>
      <c r="D76" s="137"/>
      <c r="E76" s="137"/>
      <c r="F76" s="137"/>
      <c r="G76" s="137"/>
      <c r="H76" s="137"/>
      <c r="I76" s="137"/>
      <c r="J76" s="137"/>
      <c r="K76" s="137"/>
      <c r="L76" s="138"/>
    </row>
    <row r="78" spans="3:8" ht="12.75">
      <c r="C78" s="1" t="s">
        <v>41</v>
      </c>
      <c r="D78" s="92">
        <f>(D70*1440*7)/10^6*C58*8.34</f>
        <v>7297.4953296</v>
      </c>
      <c r="E78" s="1" t="s">
        <v>130</v>
      </c>
      <c r="H78" s="95" t="s">
        <v>132</v>
      </c>
    </row>
    <row r="80" spans="1:12" ht="12.75">
      <c r="A80" s="1" t="s">
        <v>46</v>
      </c>
      <c r="C80" s="133" t="str">
        <f>CONCATENATE("Chlorine is added to a wastewater plant effluent as a disinfectant.  The effluent flow rate is ",K57," gpm and the desired residual is ",K59," mg/L.  If the wastewater has a demand of 12 mg/L and the chlorine is delivered as a hypochorite soluion with ",C57," percent available chlorine, where should the pump rate be set to acheive the desired residual?")</f>
        <v>Chlorine is added to a wastewater plant effluent as a disinfectant.  The effluent flow rate is 3472.22 gpm and the desired residual is 25 mg/L.  If the wastewater has a demand of 12 mg/L and the chlorine is delivered as a hypochorite soluion with 2 percent available chlorine, where should the pump rate be set to acheive the desired residual?</v>
      </c>
      <c r="D80" s="134"/>
      <c r="E80" s="134"/>
      <c r="F80" s="134"/>
      <c r="G80" s="134"/>
      <c r="H80" s="134"/>
      <c r="I80" s="134"/>
      <c r="J80" s="134"/>
      <c r="K80" s="134"/>
      <c r="L80" s="135"/>
    </row>
    <row r="81" spans="3:12" ht="12.75">
      <c r="C81" s="143"/>
      <c r="D81" s="144"/>
      <c r="E81" s="144"/>
      <c r="F81" s="144"/>
      <c r="G81" s="144"/>
      <c r="H81" s="144"/>
      <c r="I81" s="144"/>
      <c r="J81" s="144"/>
      <c r="K81" s="144"/>
      <c r="L81" s="145"/>
    </row>
    <row r="82" spans="3:12" ht="12.75">
      <c r="C82" s="143"/>
      <c r="D82" s="144"/>
      <c r="E82" s="144"/>
      <c r="F82" s="144"/>
      <c r="G82" s="144"/>
      <c r="H82" s="144"/>
      <c r="I82" s="144"/>
      <c r="J82" s="144"/>
      <c r="K82" s="144"/>
      <c r="L82" s="145"/>
    </row>
    <row r="83" spans="3:12" ht="12.75">
      <c r="C83" s="143"/>
      <c r="D83" s="144"/>
      <c r="E83" s="144"/>
      <c r="F83" s="144"/>
      <c r="G83" s="144"/>
      <c r="H83" s="144"/>
      <c r="I83" s="144"/>
      <c r="J83" s="144"/>
      <c r="K83" s="144"/>
      <c r="L83" s="145"/>
    </row>
    <row r="84" spans="3:12" ht="12.75">
      <c r="C84" s="136"/>
      <c r="D84" s="137"/>
      <c r="E84" s="137"/>
      <c r="F84" s="137"/>
      <c r="G84" s="137"/>
      <c r="H84" s="137"/>
      <c r="I84" s="137"/>
      <c r="J84" s="137"/>
      <c r="K84" s="137"/>
      <c r="L84" s="138"/>
    </row>
    <row r="86" spans="3:8" ht="12.75">
      <c r="C86" s="1" t="s">
        <v>41</v>
      </c>
      <c r="D86" s="14">
        <f>(K57*(K59+12))/C58</f>
        <v>6.423607</v>
      </c>
      <c r="E86" s="1" t="s">
        <v>2</v>
      </c>
      <c r="H86" s="16" t="s">
        <v>133</v>
      </c>
    </row>
    <row r="89" spans="1:12" ht="12.75">
      <c r="A89" s="1" t="s">
        <v>48</v>
      </c>
      <c r="C89" s="133" t="str">
        <f>CONCATENATE("Ferric chloride is being added as a coagulant to the influent to a secondary clarifier.  Sampling shows that the concentration of ferric in the clarifier floc well is ",K59," ppm.   A quick check of the chemical metering pump shows that it is operating at a flow rate of  ",G56," gpm.  If the flow through the WWTP is ",K58," cfs, what is the concentration of raw chemical in the dosing tank?")</f>
        <v>Ferric chloride is being added as a coagulant to the influent to a secondary clarifier.  Sampling shows that the concentration of ferric in the clarifier floc well is 25 ppm.   A quick check of the chemical metering pump shows that it is operating at a flow rate of  4.3 gpm.  If the flow through the WWTP is 7.74 cfs, what is the concentration of raw chemical in the dosing tank?</v>
      </c>
      <c r="D89" s="134"/>
      <c r="E89" s="134"/>
      <c r="F89" s="134"/>
      <c r="G89" s="134"/>
      <c r="H89" s="134"/>
      <c r="I89" s="134"/>
      <c r="J89" s="134"/>
      <c r="K89" s="134"/>
      <c r="L89" s="135"/>
    </row>
    <row r="90" spans="3:12" ht="12.75">
      <c r="C90" s="143"/>
      <c r="D90" s="144"/>
      <c r="E90" s="144"/>
      <c r="F90" s="144"/>
      <c r="G90" s="144"/>
      <c r="H90" s="144"/>
      <c r="I90" s="144"/>
      <c r="J90" s="144"/>
      <c r="K90" s="144"/>
      <c r="L90" s="145"/>
    </row>
    <row r="91" spans="3:12" ht="12.75">
      <c r="C91" s="143"/>
      <c r="D91" s="144"/>
      <c r="E91" s="144"/>
      <c r="F91" s="144"/>
      <c r="G91" s="144"/>
      <c r="H91" s="144"/>
      <c r="I91" s="144"/>
      <c r="J91" s="144"/>
      <c r="K91" s="144"/>
      <c r="L91" s="145"/>
    </row>
    <row r="92" spans="3:12" ht="12.75">
      <c r="C92" s="143"/>
      <c r="D92" s="144"/>
      <c r="E92" s="144"/>
      <c r="F92" s="144"/>
      <c r="G92" s="144"/>
      <c r="H92" s="144"/>
      <c r="I92" s="144"/>
      <c r="J92" s="144"/>
      <c r="K92" s="144"/>
      <c r="L92" s="145"/>
    </row>
    <row r="93" spans="3:12" ht="12.75">
      <c r="C93" s="143"/>
      <c r="D93" s="144"/>
      <c r="E93" s="144"/>
      <c r="F93" s="144"/>
      <c r="G93" s="144"/>
      <c r="H93" s="144"/>
      <c r="I93" s="144"/>
      <c r="J93" s="144"/>
      <c r="K93" s="144"/>
      <c r="L93" s="145"/>
    </row>
    <row r="94" spans="3:12" ht="12.75">
      <c r="C94" s="136"/>
      <c r="D94" s="137"/>
      <c r="E94" s="137"/>
      <c r="F94" s="137"/>
      <c r="G94" s="137"/>
      <c r="H94" s="137"/>
      <c r="I94" s="137"/>
      <c r="J94" s="137"/>
      <c r="K94" s="137"/>
      <c r="L94" s="138"/>
    </row>
    <row r="96" spans="3:8" ht="12.75">
      <c r="C96" s="1" t="s">
        <v>41</v>
      </c>
      <c r="D96" s="14">
        <f>C57</f>
        <v>2</v>
      </c>
      <c r="E96" s="1" t="s">
        <v>18</v>
      </c>
      <c r="H96" s="16" t="s">
        <v>134</v>
      </c>
    </row>
    <row r="98" ht="12.75">
      <c r="A98" s="1" t="s">
        <v>13</v>
      </c>
    </row>
    <row r="100" ht="12.75">
      <c r="A100" s="4" t="s">
        <v>135</v>
      </c>
    </row>
    <row r="102" ht="12.75"/>
    <row r="103" ht="12.75"/>
    <row r="104" ht="12.75"/>
    <row r="105" ht="12.75"/>
    <row r="106" ht="12.75"/>
    <row r="107" ht="12.75">
      <c r="A107" s="4" t="s">
        <v>136</v>
      </c>
    </row>
    <row r="108" spans="1:3" ht="12.75">
      <c r="A108" s="1" t="s">
        <v>86</v>
      </c>
      <c r="B108" s="5">
        <v>6000</v>
      </c>
      <c r="C108" s="1" t="s">
        <v>2</v>
      </c>
    </row>
    <row r="109" spans="2:3" ht="12.75">
      <c r="B109" s="3">
        <f>ROUND(B108*1440/10^6,2)</f>
        <v>8.64</v>
      </c>
      <c r="C109" s="1" t="s">
        <v>15</v>
      </c>
    </row>
    <row r="110" spans="1:3" ht="12.75">
      <c r="A110" s="1" t="s">
        <v>137</v>
      </c>
      <c r="B110" s="5">
        <v>8000</v>
      </c>
      <c r="C110" s="1" t="s">
        <v>5</v>
      </c>
    </row>
    <row r="111" spans="2:3" ht="12.75">
      <c r="B111" s="3">
        <f>B110/10000</f>
        <v>0.8</v>
      </c>
      <c r="C111" s="1" t="s">
        <v>18</v>
      </c>
    </row>
    <row r="112" spans="2:3" ht="12.75">
      <c r="B112" s="97">
        <f>B109*B110*8.34/2000</f>
        <v>288.23040000000003</v>
      </c>
      <c r="C112" s="1" t="s">
        <v>140</v>
      </c>
    </row>
    <row r="113" ht="12.75"/>
    <row r="114" ht="12.75"/>
    <row r="115" ht="12.75">
      <c r="A115" s="4" t="s">
        <v>138</v>
      </c>
    </row>
    <row r="116" spans="1:3" ht="12.75">
      <c r="A116" s="1" t="s">
        <v>137</v>
      </c>
      <c r="B116" s="106">
        <f>B117*10000</f>
        <v>220000</v>
      </c>
      <c r="C116" s="1" t="s">
        <v>5</v>
      </c>
    </row>
    <row r="117" spans="2:3" ht="12.75">
      <c r="B117" s="122">
        <v>22</v>
      </c>
      <c r="C117" s="1" t="s">
        <v>18</v>
      </c>
    </row>
    <row r="118" spans="1:3" ht="12.75">
      <c r="A118" s="1" t="s">
        <v>19</v>
      </c>
      <c r="B118" s="21">
        <f>ROUND((B108*B110)/B116,1)</f>
        <v>218.2</v>
      </c>
      <c r="C118" s="1" t="s">
        <v>2</v>
      </c>
    </row>
    <row r="119" spans="2:3" ht="12.75">
      <c r="B119" s="97">
        <f>ROUND(B118*1440,0)</f>
        <v>314208</v>
      </c>
      <c r="C119" s="1" t="s">
        <v>127</v>
      </c>
    </row>
    <row r="120" spans="2:3" ht="12.75">
      <c r="B120" s="21">
        <f>ROUND(B119/7.48,1)</f>
        <v>42006.4</v>
      </c>
      <c r="C120" s="1" t="s">
        <v>139</v>
      </c>
    </row>
    <row r="121" spans="2:3" ht="12.75">
      <c r="B121" s="97">
        <f>ROUND(B122*2000,0)</f>
        <v>576600</v>
      </c>
      <c r="C121" s="1" t="s">
        <v>142</v>
      </c>
    </row>
    <row r="122" spans="2:3" ht="12.75">
      <c r="B122" s="21">
        <f>ROUND(B119/10^6*B116*8.34/2000,1)</f>
        <v>288.3</v>
      </c>
      <c r="C122" s="1" t="s">
        <v>141</v>
      </c>
    </row>
    <row r="124" spans="1:12" ht="12.75">
      <c r="A124" s="1" t="s">
        <v>40</v>
      </c>
      <c r="C124" s="133" t="str">
        <f>CONCATENATE("Digested solids are sent to a belt press for dewatering.  The sludge transfer pump moves ",B108," gpm to the pump.  The belt press and pump run continuously for 24 hours.  If the digested solids have a concentration of ",B110," mg/L and the final cake produced contains ",B117,"% solids, what will the volume of dewatered cake be?  Express your answer in gallons per day.")</f>
        <v>Digested solids are sent to a belt press for dewatering.  The sludge transfer pump moves 6000 gpm to the pump.  The belt press and pump run continuously for 24 hours.  If the digested solids have a concentration of 8000 mg/L and the final cake produced contains 22% solids, what will the volume of dewatered cake be?  Express your answer in gallons per day.</v>
      </c>
      <c r="D124" s="134"/>
      <c r="E124" s="134"/>
      <c r="F124" s="134"/>
      <c r="G124" s="134"/>
      <c r="H124" s="134"/>
      <c r="I124" s="134"/>
      <c r="J124" s="134"/>
      <c r="K124" s="134"/>
      <c r="L124" s="135"/>
    </row>
    <row r="125" spans="3:12" ht="12.75">
      <c r="C125" s="143"/>
      <c r="D125" s="144"/>
      <c r="E125" s="144"/>
      <c r="F125" s="144"/>
      <c r="G125" s="144"/>
      <c r="H125" s="144"/>
      <c r="I125" s="144"/>
      <c r="J125" s="144"/>
      <c r="K125" s="144"/>
      <c r="L125" s="145"/>
    </row>
    <row r="126" spans="3:12" ht="12.75">
      <c r="C126" s="143"/>
      <c r="D126" s="144"/>
      <c r="E126" s="144"/>
      <c r="F126" s="144"/>
      <c r="G126" s="144"/>
      <c r="H126" s="144"/>
      <c r="I126" s="144"/>
      <c r="J126" s="144"/>
      <c r="K126" s="144"/>
      <c r="L126" s="145"/>
    </row>
    <row r="127" spans="2:12" ht="12.75">
      <c r="B127" s="1" t="s">
        <v>13</v>
      </c>
      <c r="C127" s="143"/>
      <c r="D127" s="144"/>
      <c r="E127" s="144"/>
      <c r="F127" s="144"/>
      <c r="G127" s="144"/>
      <c r="H127" s="144"/>
      <c r="I127" s="144"/>
      <c r="J127" s="144"/>
      <c r="K127" s="144"/>
      <c r="L127" s="145"/>
    </row>
    <row r="128" spans="3:12" ht="12.75">
      <c r="C128" s="136"/>
      <c r="D128" s="137"/>
      <c r="E128" s="137"/>
      <c r="F128" s="137"/>
      <c r="G128" s="137"/>
      <c r="H128" s="137"/>
      <c r="I128" s="137"/>
      <c r="J128" s="137"/>
      <c r="K128" s="137"/>
      <c r="L128" s="138"/>
    </row>
    <row r="129" spans="3:12" ht="12.75">
      <c r="C129" s="10"/>
      <c r="D129" s="10"/>
      <c r="E129" s="10"/>
      <c r="F129" s="10"/>
      <c r="G129" s="10"/>
      <c r="H129" s="10"/>
      <c r="I129" s="10"/>
      <c r="J129" s="10"/>
      <c r="K129" s="10"/>
      <c r="L129" s="10"/>
    </row>
    <row r="130" spans="3:12" ht="12.75">
      <c r="C130" s="10" t="s">
        <v>41</v>
      </c>
      <c r="D130" s="91">
        <f>B119</f>
        <v>314208</v>
      </c>
      <c r="E130" s="123" t="s">
        <v>127</v>
      </c>
      <c r="F130" s="10"/>
      <c r="G130" s="10"/>
      <c r="H130" s="10"/>
      <c r="I130" s="10"/>
      <c r="J130" s="10"/>
      <c r="K130" s="10"/>
      <c r="L130" s="10"/>
    </row>
    <row r="132" spans="1:12" ht="12.75">
      <c r="A132" s="108" t="s">
        <v>42</v>
      </c>
      <c r="C132" s="133" t="str">
        <f>CONCATENATE("A sludge pump transfers digested sludge to a belt filter press at a rate of ",B108," gpm.  The pump and press operate for a total of six hours.  The digested sludge contained ",B111,"% solids.  Find the volume of cake produced in cubic feet per day if the final cake concentration is ",B117,"% solids.")</f>
        <v>A sludge pump transfers digested sludge to a belt filter press at a rate of 6000 gpm.  The pump and press operate for a total of six hours.  The digested sludge contained 0.8% solids.  Find the volume of cake produced in cubic feet per day if the final cake concentration is 22% solids.</v>
      </c>
      <c r="D132" s="134"/>
      <c r="E132" s="134"/>
      <c r="F132" s="134"/>
      <c r="G132" s="134"/>
      <c r="H132" s="134"/>
      <c r="I132" s="134"/>
      <c r="J132" s="134"/>
      <c r="K132" s="134"/>
      <c r="L132" s="135"/>
    </row>
    <row r="133" spans="3:12" ht="12.75">
      <c r="C133" s="143"/>
      <c r="D133" s="144"/>
      <c r="E133" s="144"/>
      <c r="F133" s="144"/>
      <c r="G133" s="144"/>
      <c r="H133" s="144"/>
      <c r="I133" s="144"/>
      <c r="J133" s="144"/>
      <c r="K133" s="144"/>
      <c r="L133" s="145"/>
    </row>
    <row r="134" spans="3:12" ht="12.75">
      <c r="C134" s="143"/>
      <c r="D134" s="144"/>
      <c r="E134" s="144"/>
      <c r="F134" s="144"/>
      <c r="G134" s="144"/>
      <c r="H134" s="144"/>
      <c r="I134" s="144"/>
      <c r="J134" s="144"/>
      <c r="K134" s="144"/>
      <c r="L134" s="145"/>
    </row>
    <row r="135" spans="3:12" ht="12.75">
      <c r="C135" s="143"/>
      <c r="D135" s="144"/>
      <c r="E135" s="144"/>
      <c r="F135" s="144"/>
      <c r="G135" s="144"/>
      <c r="H135" s="144"/>
      <c r="I135" s="144"/>
      <c r="J135" s="144"/>
      <c r="K135" s="144"/>
      <c r="L135" s="145"/>
    </row>
    <row r="136" spans="3:12" ht="12.75">
      <c r="C136" s="136"/>
      <c r="D136" s="137"/>
      <c r="E136" s="137"/>
      <c r="F136" s="137"/>
      <c r="G136" s="137"/>
      <c r="H136" s="137"/>
      <c r="I136" s="137"/>
      <c r="J136" s="137"/>
      <c r="K136" s="137"/>
      <c r="L136" s="138"/>
    </row>
    <row r="138" spans="3:5" ht="12.75">
      <c r="C138" s="10" t="s">
        <v>41</v>
      </c>
      <c r="D138" s="91">
        <f>B120/4</f>
        <v>10501.6</v>
      </c>
      <c r="E138" s="123" t="s">
        <v>218</v>
      </c>
    </row>
  </sheetData>
  <sheetProtection password="DDB7" sheet="1" objects="1" scenarios="1"/>
  <mergeCells count="8">
    <mergeCell ref="C124:L128"/>
    <mergeCell ref="C132:L136"/>
    <mergeCell ref="C80:L84"/>
    <mergeCell ref="C89:L94"/>
    <mergeCell ref="C22:L26"/>
    <mergeCell ref="C30:L33"/>
    <mergeCell ref="C64:L68"/>
    <mergeCell ref="C73:L76"/>
  </mergeCells>
  <printOptions/>
  <pageMargins left="0.75" right="0.75" top="1" bottom="1" header="0.5" footer="0.5"/>
  <pageSetup fitToHeight="10" fitToWidth="1" horizontalDpi="1200" verticalDpi="1200" orientation="portrait" scale="79" r:id="rId4"/>
  <drawing r:id="rId3"/>
  <legacyDrawing r:id="rId2"/>
  <oleObjects>
    <oleObject progId="Equation.3" shapeId="2656952" r:id="rId1"/>
  </oleObjects>
</worksheet>
</file>

<file path=xl/worksheets/sheet6.xml><?xml version="1.0" encoding="utf-8"?>
<worksheet xmlns="http://schemas.openxmlformats.org/spreadsheetml/2006/main" xmlns:r="http://schemas.openxmlformats.org/officeDocument/2006/relationships">
  <sheetPr>
    <pageSetUpPr fitToPage="1"/>
  </sheetPr>
  <dimension ref="A2:P86"/>
  <sheetViews>
    <sheetView zoomScalePageLayoutView="0" workbookViewId="0" topLeftCell="A1">
      <selection activeCell="D4" sqref="D4"/>
    </sheetView>
  </sheetViews>
  <sheetFormatPr defaultColWidth="9.140625" defaultRowHeight="12.75"/>
  <cols>
    <col min="1" max="14" width="9.140625" style="1" customWidth="1"/>
    <col min="15" max="15" width="3.7109375" style="1" customWidth="1"/>
    <col min="16" max="16384" width="9.140625" style="1" customWidth="1"/>
  </cols>
  <sheetData>
    <row r="1" ht="12.75"/>
    <row r="2" ht="12.75">
      <c r="D2" s="108" t="s">
        <v>215</v>
      </c>
    </row>
    <row r="3" ht="12.75">
      <c r="D3" s="108" t="s">
        <v>219</v>
      </c>
    </row>
    <row r="4" ht="12.75"/>
    <row r="5" ht="12.75"/>
    <row r="6" ht="12.75">
      <c r="A6" s="1" t="s">
        <v>188</v>
      </c>
    </row>
    <row r="7" ht="12.75">
      <c r="A7" s="17" t="s">
        <v>54</v>
      </c>
    </row>
    <row r="8" ht="12.75"/>
    <row r="9" ht="12.75"/>
    <row r="10" spans="5:7" ht="12.75">
      <c r="E10" s="2" t="s">
        <v>31</v>
      </c>
      <c r="F10" s="3">
        <f>F25</f>
        <v>3000</v>
      </c>
      <c r="G10" s="1" t="s">
        <v>5</v>
      </c>
    </row>
    <row r="11" spans="5:7" ht="12.75">
      <c r="E11" s="2" t="s">
        <v>32</v>
      </c>
      <c r="F11" s="3">
        <f>F26</f>
        <v>2400</v>
      </c>
      <c r="G11" s="1" t="s">
        <v>5</v>
      </c>
    </row>
    <row r="12" ht="12.75"/>
    <row r="13" ht="12.75"/>
    <row r="14" ht="12.75"/>
    <row r="15" ht="12.75"/>
    <row r="16" spans="8:11" ht="12.75">
      <c r="H16" s="85" t="s">
        <v>106</v>
      </c>
      <c r="I16" s="86"/>
      <c r="K16" s="84" t="s">
        <v>89</v>
      </c>
    </row>
    <row r="17" ht="12.75"/>
    <row r="18" ht="12.75"/>
    <row r="19" ht="12.75"/>
    <row r="20" spans="1:14" ht="12.75">
      <c r="A20" s="4" t="s">
        <v>0</v>
      </c>
      <c r="E20" s="4" t="s">
        <v>6</v>
      </c>
      <c r="I20" s="4" t="s">
        <v>16</v>
      </c>
      <c r="N20" s="4" t="s">
        <v>33</v>
      </c>
    </row>
    <row r="21" spans="1:16" ht="12.75">
      <c r="A21" s="1" t="s">
        <v>1</v>
      </c>
      <c r="B21" s="5">
        <v>6500</v>
      </c>
      <c r="C21" s="1" t="s">
        <v>2</v>
      </c>
      <c r="E21" s="1" t="s">
        <v>7</v>
      </c>
      <c r="F21" s="5">
        <v>300</v>
      </c>
      <c r="G21" s="1" t="s">
        <v>10</v>
      </c>
      <c r="I21" s="1" t="s">
        <v>3</v>
      </c>
      <c r="J21" s="6">
        <f>ROUND(B22*B23*8.34,0)</f>
        <v>46837</v>
      </c>
      <c r="K21" s="1" t="s">
        <v>27</v>
      </c>
      <c r="N21" s="1" t="s">
        <v>34</v>
      </c>
      <c r="O21" s="7" t="s">
        <v>35</v>
      </c>
      <c r="P21" s="1" t="s">
        <v>36</v>
      </c>
    </row>
    <row r="22" spans="2:16" ht="12.75">
      <c r="B22" s="8">
        <f>ROUND(B21*1440/10^6,3)</f>
        <v>9.36</v>
      </c>
      <c r="C22" s="1" t="s">
        <v>15</v>
      </c>
      <c r="E22" s="1" t="s">
        <v>8</v>
      </c>
      <c r="F22" s="5">
        <v>70</v>
      </c>
      <c r="G22" s="1" t="s">
        <v>10</v>
      </c>
      <c r="I22" s="1" t="s">
        <v>11</v>
      </c>
      <c r="J22" s="6">
        <f>ROUND(F30*F25*8.34,0)</f>
        <v>141488</v>
      </c>
      <c r="K22" s="1" t="s">
        <v>28</v>
      </c>
      <c r="N22" s="1" t="s">
        <v>37</v>
      </c>
      <c r="O22" s="7" t="s">
        <v>35</v>
      </c>
      <c r="P22" s="1" t="s">
        <v>38</v>
      </c>
    </row>
    <row r="23" spans="1:14" ht="12.75">
      <c r="A23" s="1" t="s">
        <v>3</v>
      </c>
      <c r="B23" s="5">
        <v>600</v>
      </c>
      <c r="C23" s="1" t="s">
        <v>5</v>
      </c>
      <c r="E23" s="1" t="s">
        <v>9</v>
      </c>
      <c r="F23" s="5">
        <v>12</v>
      </c>
      <c r="G23" s="1" t="s">
        <v>10</v>
      </c>
      <c r="I23" s="1" t="s">
        <v>12</v>
      </c>
      <c r="J23" s="6">
        <f>ROUND(F30*F26*8.34,0)</f>
        <v>113190</v>
      </c>
      <c r="K23" s="1" t="s">
        <v>29</v>
      </c>
      <c r="N23" s="1" t="s">
        <v>13</v>
      </c>
    </row>
    <row r="24" spans="1:11" ht="12.75">
      <c r="A24" s="1" t="s">
        <v>4</v>
      </c>
      <c r="B24" s="5">
        <v>280</v>
      </c>
      <c r="C24" s="1" t="s">
        <v>5</v>
      </c>
      <c r="E24" s="1" t="s">
        <v>23</v>
      </c>
      <c r="F24" s="5">
        <v>3</v>
      </c>
      <c r="G24" s="1" t="s">
        <v>24</v>
      </c>
      <c r="I24" s="1" t="s">
        <v>17</v>
      </c>
      <c r="J24" s="9">
        <f>ROUND(F26/F25*100,2)</f>
        <v>80</v>
      </c>
      <c r="K24" s="1" t="s">
        <v>18</v>
      </c>
    </row>
    <row r="25" spans="5:11" ht="12.75">
      <c r="E25" s="1" t="s">
        <v>11</v>
      </c>
      <c r="F25" s="5">
        <v>3000</v>
      </c>
      <c r="G25" s="1" t="s">
        <v>5</v>
      </c>
      <c r="I25" s="1" t="s">
        <v>14</v>
      </c>
      <c r="J25" s="9">
        <f>ROUND(J21/J22,2)</f>
        <v>0.33</v>
      </c>
      <c r="K25" s="1" t="s">
        <v>25</v>
      </c>
    </row>
    <row r="26" spans="1:11" ht="12.75">
      <c r="A26" s="1" t="s">
        <v>13</v>
      </c>
      <c r="E26" s="1" t="s">
        <v>12</v>
      </c>
      <c r="F26" s="5">
        <v>2400</v>
      </c>
      <c r="G26" s="1" t="s">
        <v>5</v>
      </c>
      <c r="J26" s="9">
        <f>ROUND(J21/J23,2)</f>
        <v>0.41</v>
      </c>
      <c r="K26" s="1" t="s">
        <v>26</v>
      </c>
    </row>
    <row r="27" ht="12.75">
      <c r="B27" s="1" t="s">
        <v>13</v>
      </c>
    </row>
    <row r="28" spans="2:7" ht="12.75">
      <c r="B28" s="1" t="s">
        <v>13</v>
      </c>
      <c r="E28" s="1" t="s">
        <v>19</v>
      </c>
      <c r="F28" s="8">
        <f>ROUND(F21*F22*F23*F24,2)</f>
        <v>756000</v>
      </c>
      <c r="G28" s="1" t="s">
        <v>20</v>
      </c>
    </row>
    <row r="29" spans="6:7" ht="12.75">
      <c r="F29" s="8">
        <f>ROUND(F28*7.48,2)</f>
        <v>5654880</v>
      </c>
      <c r="G29" s="1" t="s">
        <v>21</v>
      </c>
    </row>
    <row r="30" spans="6:7" ht="12.75">
      <c r="F30" s="9">
        <f>ROUND(F29/10^6,3)</f>
        <v>5.655</v>
      </c>
      <c r="G30" s="1" t="s">
        <v>22</v>
      </c>
    </row>
    <row r="31" ht="12.75"/>
    <row r="32" ht="12.75"/>
    <row r="33" ht="12.75"/>
    <row r="34" ht="12.75"/>
    <row r="35" ht="12.75"/>
    <row r="36" ht="12.75"/>
    <row r="37" ht="12.75"/>
    <row r="38" ht="12.75"/>
    <row r="39" ht="12.75">
      <c r="A39" s="4" t="s">
        <v>39</v>
      </c>
    </row>
    <row r="42" spans="1:11" ht="12.75">
      <c r="A42" s="1" t="s">
        <v>40</v>
      </c>
      <c r="C42" s="133" t="str">
        <f>CONCATENATE("A wastewater treatment plant receives ",B22," mgd and the influent BOD concentration is ",B23," mg/L.  How many pounds of BOD are entering the plant?")</f>
        <v>A wastewater treatment plant receives 9.36 mgd and the influent BOD concentration is 600 mg/L.  How many pounds of BOD are entering the plant?</v>
      </c>
      <c r="D42" s="134"/>
      <c r="E42" s="134"/>
      <c r="F42" s="134"/>
      <c r="G42" s="134"/>
      <c r="H42" s="134"/>
      <c r="I42" s="134"/>
      <c r="J42" s="134"/>
      <c r="K42" s="135"/>
    </row>
    <row r="43" spans="2:11" ht="12.75">
      <c r="B43" s="1" t="s">
        <v>13</v>
      </c>
      <c r="C43" s="143"/>
      <c r="D43" s="144"/>
      <c r="E43" s="144"/>
      <c r="F43" s="144"/>
      <c r="G43" s="144"/>
      <c r="H43" s="144"/>
      <c r="I43" s="144"/>
      <c r="J43" s="144"/>
      <c r="K43" s="145"/>
    </row>
    <row r="44" spans="3:11" ht="12.75">
      <c r="C44" s="136"/>
      <c r="D44" s="137"/>
      <c r="E44" s="137"/>
      <c r="F44" s="137"/>
      <c r="G44" s="137"/>
      <c r="H44" s="137"/>
      <c r="I44" s="137"/>
      <c r="J44" s="137"/>
      <c r="K44" s="138"/>
    </row>
    <row r="45" spans="3:11" ht="12.75">
      <c r="C45" s="10"/>
      <c r="D45" s="10"/>
      <c r="E45" s="10"/>
      <c r="F45" s="10"/>
      <c r="G45" s="10"/>
      <c r="H45" s="10"/>
      <c r="I45" s="10"/>
      <c r="J45" s="10"/>
      <c r="K45" s="10"/>
    </row>
    <row r="46" spans="3:11" ht="12.75">
      <c r="C46" s="10" t="s">
        <v>41</v>
      </c>
      <c r="D46" s="13">
        <f>J21</f>
        <v>46837</v>
      </c>
      <c r="E46" s="11" t="str">
        <f>K21</f>
        <v>pounds per day</v>
      </c>
      <c r="F46" s="10"/>
      <c r="G46" s="10"/>
      <c r="H46" s="10"/>
      <c r="I46" s="10"/>
      <c r="J46" s="10"/>
      <c r="K46" s="10"/>
    </row>
    <row r="47" spans="3:11" ht="12.75">
      <c r="C47" s="10"/>
      <c r="D47" s="10"/>
      <c r="E47" s="10"/>
      <c r="F47" s="10"/>
      <c r="G47" s="10"/>
      <c r="H47" s="10"/>
      <c r="I47" s="10"/>
      <c r="J47" s="10"/>
      <c r="K47" s="10"/>
    </row>
    <row r="48" spans="1:11" ht="12.75">
      <c r="A48" s="1" t="s">
        <v>42</v>
      </c>
      <c r="C48" s="133" t="str">
        <f>CONCATENATE("The WWTP described in Problem One has ",F24," aeration basins on-line.  Each basin has the dimensions show below.  If the MLSS concentration is ",F25," mg/L and volatile suspended solids data is not available,  what is the food to microorganism ratio?")</f>
        <v>The WWTP described in Problem One has 3 aeration basins on-line.  Each basin has the dimensions show below.  If the MLSS concentration is 3000 mg/L and volatile suspended solids data is not available,  what is the food to microorganism ratio?</v>
      </c>
      <c r="D48" s="134"/>
      <c r="E48" s="134"/>
      <c r="F48" s="134"/>
      <c r="G48" s="134"/>
      <c r="H48" s="134"/>
      <c r="I48" s="134"/>
      <c r="J48" s="134"/>
      <c r="K48" s="135"/>
    </row>
    <row r="49" spans="3:11" ht="12.75">
      <c r="C49" s="143"/>
      <c r="D49" s="144"/>
      <c r="E49" s="144"/>
      <c r="F49" s="144"/>
      <c r="G49" s="144"/>
      <c r="H49" s="144"/>
      <c r="I49" s="144"/>
      <c r="J49" s="144"/>
      <c r="K49" s="145"/>
    </row>
    <row r="50" spans="3:11" ht="12.75">
      <c r="C50" s="136"/>
      <c r="D50" s="137"/>
      <c r="E50" s="137"/>
      <c r="F50" s="137"/>
      <c r="G50" s="137"/>
      <c r="H50" s="137"/>
      <c r="I50" s="137"/>
      <c r="J50" s="137"/>
      <c r="K50" s="138"/>
    </row>
    <row r="52" spans="8:9" ht="12.75">
      <c r="H52" s="1" t="s">
        <v>41</v>
      </c>
      <c r="I52" s="14">
        <f>J25</f>
        <v>0.33</v>
      </c>
    </row>
    <row r="53" spans="5:7" ht="12.75">
      <c r="E53" s="2" t="s">
        <v>43</v>
      </c>
      <c r="F53" s="12">
        <f aca="true" t="shared" si="0" ref="F53:G55">F21</f>
        <v>300</v>
      </c>
      <c r="G53" s="1" t="str">
        <f t="shared" si="0"/>
        <v>ft</v>
      </c>
    </row>
    <row r="54" spans="5:7" ht="12.75">
      <c r="E54" s="2" t="s">
        <v>45</v>
      </c>
      <c r="F54" s="12">
        <f t="shared" si="0"/>
        <v>70</v>
      </c>
      <c r="G54" s="1" t="str">
        <f t="shared" si="0"/>
        <v>ft</v>
      </c>
    </row>
    <row r="55" spans="5:7" ht="12.75">
      <c r="E55" s="2" t="s">
        <v>44</v>
      </c>
      <c r="F55" s="12">
        <f t="shared" si="0"/>
        <v>12</v>
      </c>
      <c r="G55" s="1" t="str">
        <f t="shared" si="0"/>
        <v>ft</v>
      </c>
    </row>
    <row r="56" ht="12.75"/>
    <row r="57" ht="12.75"/>
    <row r="59" spans="1:11" ht="12.75">
      <c r="A59" s="1" t="s">
        <v>46</v>
      </c>
      <c r="C59" s="133" t="s">
        <v>47</v>
      </c>
      <c r="D59" s="134"/>
      <c r="E59" s="134"/>
      <c r="F59" s="134"/>
      <c r="G59" s="134"/>
      <c r="H59" s="134"/>
      <c r="I59" s="134"/>
      <c r="J59" s="134"/>
      <c r="K59" s="135"/>
    </row>
    <row r="60" spans="3:11" ht="12.75">
      <c r="C60" s="143"/>
      <c r="D60" s="144"/>
      <c r="E60" s="144"/>
      <c r="F60" s="144"/>
      <c r="G60" s="144"/>
      <c r="H60" s="144"/>
      <c r="I60" s="144"/>
      <c r="J60" s="144"/>
      <c r="K60" s="145"/>
    </row>
    <row r="61" spans="3:11" ht="12.75">
      <c r="C61" s="136"/>
      <c r="D61" s="137"/>
      <c r="E61" s="137"/>
      <c r="F61" s="137"/>
      <c r="G61" s="137"/>
      <c r="H61" s="137"/>
      <c r="I61" s="137"/>
      <c r="J61" s="137"/>
      <c r="K61" s="138"/>
    </row>
    <row r="63" spans="3:5" ht="12.75">
      <c r="C63" s="1" t="s">
        <v>41</v>
      </c>
      <c r="D63" s="14">
        <f>J21/(J22/3*2)</f>
        <v>0.4965474103810924</v>
      </c>
      <c r="E63" s="1" t="s">
        <v>13</v>
      </c>
    </row>
    <row r="66" spans="1:11" ht="12.75">
      <c r="A66" s="1" t="s">
        <v>48</v>
      </c>
      <c r="C66" s="133" t="str">
        <f>CONCATENATE("A WWTP has an F:M ratio of ",J26,".  The influent flow to the plant is ",B22," mgd and the BOD concentration is ",B23," mg/L.  If the MLSS is ",J24," % volatile, how many pounds of MLVSS are in the aeration basin?")</f>
        <v>A WWTP has an F:M ratio of 0.41.  The influent flow to the plant is 9.36 mgd and the BOD concentration is 600 mg/L.  If the MLSS is 80 % volatile, how many pounds of MLVSS are in the aeration basin?</v>
      </c>
      <c r="D66" s="134"/>
      <c r="E66" s="134"/>
      <c r="F66" s="134"/>
      <c r="G66" s="134"/>
      <c r="H66" s="134"/>
      <c r="I66" s="134"/>
      <c r="J66" s="134"/>
      <c r="K66" s="135"/>
    </row>
    <row r="67" spans="3:11" ht="12.75">
      <c r="C67" s="143"/>
      <c r="D67" s="144"/>
      <c r="E67" s="144"/>
      <c r="F67" s="144"/>
      <c r="G67" s="144"/>
      <c r="H67" s="144"/>
      <c r="I67" s="144"/>
      <c r="J67" s="144"/>
      <c r="K67" s="145"/>
    </row>
    <row r="68" spans="3:11" ht="12.75">
      <c r="C68" s="136"/>
      <c r="D68" s="137"/>
      <c r="E68" s="137"/>
      <c r="F68" s="137"/>
      <c r="G68" s="137"/>
      <c r="H68" s="137"/>
      <c r="I68" s="137"/>
      <c r="J68" s="137"/>
      <c r="K68" s="138"/>
    </row>
    <row r="70" spans="3:5" ht="12.75">
      <c r="C70" s="1" t="s">
        <v>41</v>
      </c>
      <c r="D70" s="15">
        <f>J23</f>
        <v>113190</v>
      </c>
      <c r="E70" s="1" t="s">
        <v>29</v>
      </c>
    </row>
    <row r="72" spans="1:11" ht="12.75">
      <c r="A72" s="1" t="s">
        <v>49</v>
      </c>
      <c r="C72" s="133" t="s">
        <v>50</v>
      </c>
      <c r="D72" s="134"/>
      <c r="E72" s="134"/>
      <c r="F72" s="134"/>
      <c r="G72" s="134"/>
      <c r="H72" s="134"/>
      <c r="I72" s="134"/>
      <c r="J72" s="134"/>
      <c r="K72" s="135"/>
    </row>
    <row r="73" spans="3:11" ht="12.75">
      <c r="C73" s="143"/>
      <c r="D73" s="144"/>
      <c r="E73" s="144"/>
      <c r="F73" s="144"/>
      <c r="G73" s="144"/>
      <c r="H73" s="144"/>
      <c r="I73" s="144"/>
      <c r="J73" s="144"/>
      <c r="K73" s="145"/>
    </row>
    <row r="74" spans="3:11" ht="12.75">
      <c r="C74" s="136"/>
      <c r="D74" s="137"/>
      <c r="E74" s="137"/>
      <c r="F74" s="137"/>
      <c r="G74" s="137"/>
      <c r="H74" s="137"/>
      <c r="I74" s="137"/>
      <c r="J74" s="137"/>
      <c r="K74" s="138"/>
    </row>
    <row r="76" spans="3:9" ht="12.75">
      <c r="C76" s="1" t="s">
        <v>41</v>
      </c>
      <c r="D76" s="15">
        <f>J21/0.3</f>
        <v>156123.33333333334</v>
      </c>
      <c r="E76" s="1" t="s">
        <v>51</v>
      </c>
      <c r="H76" s="15">
        <f>D70-D76</f>
        <v>-42933.33333333334</v>
      </c>
      <c r="I76" s="16" t="s">
        <v>29</v>
      </c>
    </row>
    <row r="78" spans="1:11" ht="12.75">
      <c r="A78" s="1" t="s">
        <v>52</v>
      </c>
      <c r="C78" s="133" t="str">
        <f>CONCATENATE("A wastewater treatment plant receives ",B21," gpm of flow and the influent BOD concentration is ",B23," mg/L.  The primary clarifiers remove 35% of the influent BOD.  If the aeration basin holds ",J22," pounds of MLSS, what is the F:M?  Assume MLVSS data is not available.")</f>
        <v>A wastewater treatment plant receives 6500 gpm of flow and the influent BOD concentration is 600 mg/L.  The primary clarifiers remove 35% of the influent BOD.  If the aeration basin holds 141488 pounds of MLSS, what is the F:M?  Assume MLVSS data is not available.</v>
      </c>
      <c r="D78" s="134"/>
      <c r="E78" s="134"/>
      <c r="F78" s="134"/>
      <c r="G78" s="134"/>
      <c r="H78" s="134"/>
      <c r="I78" s="134"/>
      <c r="J78" s="134"/>
      <c r="K78" s="135"/>
    </row>
    <row r="79" spans="3:11" ht="12.75">
      <c r="C79" s="143"/>
      <c r="D79" s="144"/>
      <c r="E79" s="144"/>
      <c r="F79" s="144"/>
      <c r="G79" s="144"/>
      <c r="H79" s="144"/>
      <c r="I79" s="144"/>
      <c r="J79" s="144"/>
      <c r="K79" s="145"/>
    </row>
    <row r="80" spans="3:11" ht="12.75">
      <c r="C80" s="136"/>
      <c r="D80" s="137"/>
      <c r="E80" s="137"/>
      <c r="F80" s="137"/>
      <c r="G80" s="137"/>
      <c r="H80" s="137"/>
      <c r="I80" s="137"/>
      <c r="J80" s="137"/>
      <c r="K80" s="138"/>
    </row>
    <row r="82" spans="3:4" ht="12.75">
      <c r="C82" s="1" t="s">
        <v>41</v>
      </c>
      <c r="D82" s="14">
        <f>(J21*0.65)/J22</f>
        <v>0.21517054449847337</v>
      </c>
    </row>
    <row r="84" spans="3:11" ht="12.75">
      <c r="C84" s="142" t="s">
        <v>53</v>
      </c>
      <c r="D84" s="142"/>
      <c r="E84" s="142"/>
      <c r="F84" s="142"/>
      <c r="G84" s="142"/>
      <c r="H84" s="142"/>
      <c r="I84" s="142"/>
      <c r="J84" s="142"/>
      <c r="K84" s="142"/>
    </row>
    <row r="85" spans="3:11" ht="12.75">
      <c r="C85" s="142"/>
      <c r="D85" s="142"/>
      <c r="E85" s="142"/>
      <c r="F85" s="142"/>
      <c r="G85" s="142"/>
      <c r="H85" s="142"/>
      <c r="I85" s="142"/>
      <c r="J85" s="142"/>
      <c r="K85" s="142"/>
    </row>
    <row r="86" spans="3:11" ht="12.75">
      <c r="C86" s="167"/>
      <c r="D86" s="167"/>
      <c r="E86" s="167"/>
      <c r="F86" s="167"/>
      <c r="G86" s="167"/>
      <c r="H86" s="167"/>
      <c r="I86" s="167"/>
      <c r="J86" s="167"/>
      <c r="K86" s="167"/>
    </row>
  </sheetData>
  <sheetProtection password="DDB7" sheet="1" objects="1" scenarios="1"/>
  <mergeCells count="7">
    <mergeCell ref="C72:K74"/>
    <mergeCell ref="C78:K80"/>
    <mergeCell ref="C84:K86"/>
    <mergeCell ref="C42:K44"/>
    <mergeCell ref="C48:K50"/>
    <mergeCell ref="C59:K61"/>
    <mergeCell ref="C66:K68"/>
  </mergeCells>
  <printOptions/>
  <pageMargins left="0.75" right="0.75" top="1" bottom="1" header="0.5" footer="0.5"/>
  <pageSetup fitToHeight="10" fitToWidth="1" horizontalDpi="1200" verticalDpi="1200" orientation="portrait" scale="76" r:id="rId5"/>
  <drawing r:id="rId4"/>
  <legacyDrawing r:id="rId3"/>
  <oleObjects>
    <oleObject progId="Equation.3" shapeId="762994" r:id="rId1"/>
    <oleObject progId="Equation.3" shapeId="767441" r:id="rId2"/>
  </oleObjects>
</worksheet>
</file>

<file path=xl/worksheets/sheet7.xml><?xml version="1.0" encoding="utf-8"?>
<worksheet xmlns="http://schemas.openxmlformats.org/spreadsheetml/2006/main" xmlns:r="http://schemas.openxmlformats.org/officeDocument/2006/relationships">
  <sheetPr>
    <pageSetUpPr fitToPage="1"/>
  </sheetPr>
  <dimension ref="A2:Q86"/>
  <sheetViews>
    <sheetView zoomScalePageLayoutView="0" workbookViewId="0" topLeftCell="A1">
      <selection activeCell="E4" sqref="E4"/>
    </sheetView>
  </sheetViews>
  <sheetFormatPr defaultColWidth="9.140625" defaultRowHeight="12.75"/>
  <cols>
    <col min="1" max="1" width="4.28125" style="38" customWidth="1"/>
    <col min="2" max="3" width="9.140625" style="38" customWidth="1"/>
    <col min="4" max="4" width="12.421875" style="38" bestFit="1" customWidth="1"/>
    <col min="5" max="5" width="3.28125" style="38" customWidth="1"/>
    <col min="6" max="7" width="9.140625" style="38" customWidth="1"/>
    <col min="8" max="8" width="14.00390625" style="38" customWidth="1"/>
    <col min="9" max="10" width="9.140625" style="38" customWidth="1"/>
    <col min="11" max="11" width="3.8515625" style="38" customWidth="1"/>
    <col min="12" max="12" width="9.140625" style="38" customWidth="1"/>
    <col min="13" max="13" width="5.00390625" style="38" customWidth="1"/>
    <col min="14" max="14" width="4.00390625" style="38" customWidth="1"/>
    <col min="15" max="16" width="9.140625" style="38" customWidth="1"/>
    <col min="17" max="17" width="5.28125" style="38" customWidth="1"/>
    <col min="18" max="16384" width="9.140625" style="38" customWidth="1"/>
  </cols>
  <sheetData>
    <row r="1" s="1" customFormat="1" ht="12.75"/>
    <row r="2" s="1" customFormat="1" ht="12.75">
      <c r="E2" s="108" t="s">
        <v>215</v>
      </c>
    </row>
    <row r="3" s="1" customFormat="1" ht="12.75">
      <c r="E3" s="108" t="s">
        <v>219</v>
      </c>
    </row>
    <row r="4" s="1" customFormat="1" ht="12.75"/>
    <row r="5" s="1" customFormat="1" ht="12.75"/>
    <row r="6" ht="12.75">
      <c r="A6" s="38" t="s">
        <v>188</v>
      </c>
    </row>
    <row r="7" ht="12.75">
      <c r="A7" s="39" t="s">
        <v>54</v>
      </c>
    </row>
    <row r="8" ht="12.75"/>
    <row r="9" ht="12.75"/>
    <row r="10" spans="5:7" ht="12.75">
      <c r="E10" s="40" t="s">
        <v>31</v>
      </c>
      <c r="F10" s="41">
        <f>C25</f>
        <v>3000</v>
      </c>
      <c r="G10" s="38" t="s">
        <v>5</v>
      </c>
    </row>
    <row r="11" spans="2:15" ht="12.75">
      <c r="B11" s="38" t="s">
        <v>83</v>
      </c>
      <c r="E11" s="40" t="s">
        <v>32</v>
      </c>
      <c r="F11" s="41">
        <f>C26</f>
        <v>2400</v>
      </c>
      <c r="G11" s="38" t="s">
        <v>5</v>
      </c>
      <c r="O11" s="42" t="s">
        <v>33</v>
      </c>
    </row>
    <row r="12" spans="15:17" ht="12.75">
      <c r="O12" s="38" t="s">
        <v>34</v>
      </c>
      <c r="P12" s="43" t="s">
        <v>35</v>
      </c>
      <c r="Q12" s="38" t="s">
        <v>36</v>
      </c>
    </row>
    <row r="13" spans="2:17" ht="12.75">
      <c r="B13" s="5">
        <v>4</v>
      </c>
      <c r="C13" s="38" t="s">
        <v>15</v>
      </c>
      <c r="O13" s="38" t="s">
        <v>37</v>
      </c>
      <c r="P13" s="43" t="s">
        <v>35</v>
      </c>
      <c r="Q13" s="38" t="s">
        <v>38</v>
      </c>
    </row>
    <row r="14" spans="2:3" ht="12.75">
      <c r="B14" s="44">
        <f>B13*10^6/1440</f>
        <v>2777.777777777778</v>
      </c>
      <c r="C14" s="38" t="s">
        <v>2</v>
      </c>
    </row>
    <row r="15" spans="2:3" ht="12.75">
      <c r="B15" s="45">
        <f>B14/7.48/60</f>
        <v>6.189344424638542</v>
      </c>
      <c r="C15" s="38" t="s">
        <v>85</v>
      </c>
    </row>
    <row r="16" spans="8:12" ht="12.75">
      <c r="H16" s="88" t="s">
        <v>106</v>
      </c>
      <c r="L16" s="87" t="s">
        <v>89</v>
      </c>
    </row>
    <row r="17" ht="12.75"/>
    <row r="18" ht="12.75"/>
    <row r="19" ht="12.75"/>
    <row r="20" spans="2:17" ht="12.75">
      <c r="B20" s="58" t="s">
        <v>6</v>
      </c>
      <c r="C20" s="59"/>
      <c r="D20" s="60"/>
      <c r="F20" s="58" t="s">
        <v>76</v>
      </c>
      <c r="G20" s="59"/>
      <c r="H20" s="60"/>
      <c r="J20" s="58" t="s">
        <v>77</v>
      </c>
      <c r="K20" s="73"/>
      <c r="L20" s="73"/>
      <c r="M20" s="74"/>
      <c r="N20" s="42"/>
      <c r="O20" s="58" t="s">
        <v>78</v>
      </c>
      <c r="P20" s="59"/>
      <c r="Q20" s="60"/>
    </row>
    <row r="21" spans="2:17" ht="12.75">
      <c r="B21" s="61" t="s">
        <v>7</v>
      </c>
      <c r="C21" s="62">
        <v>150</v>
      </c>
      <c r="D21" s="63" t="s">
        <v>10</v>
      </c>
      <c r="F21" s="61" t="s">
        <v>79</v>
      </c>
      <c r="G21" s="70">
        <v>65</v>
      </c>
      <c r="H21" s="63" t="s">
        <v>10</v>
      </c>
      <c r="J21" s="61" t="s">
        <v>4</v>
      </c>
      <c r="K21" s="64"/>
      <c r="L21" s="70">
        <v>6500</v>
      </c>
      <c r="M21" s="63" t="s">
        <v>5</v>
      </c>
      <c r="O21" s="61" t="s">
        <v>4</v>
      </c>
      <c r="P21" s="62">
        <v>12</v>
      </c>
      <c r="Q21" s="63" t="s">
        <v>5</v>
      </c>
    </row>
    <row r="22" spans="2:17" ht="12.75">
      <c r="B22" s="61" t="s">
        <v>8</v>
      </c>
      <c r="C22" s="62">
        <v>50</v>
      </c>
      <c r="D22" s="63" t="s">
        <v>10</v>
      </c>
      <c r="F22" s="61" t="s">
        <v>9</v>
      </c>
      <c r="G22" s="70">
        <v>12</v>
      </c>
      <c r="H22" s="63" t="s">
        <v>10</v>
      </c>
      <c r="J22" s="61" t="s">
        <v>86</v>
      </c>
      <c r="K22" s="64"/>
      <c r="L22" s="75">
        <v>0.05</v>
      </c>
      <c r="M22" s="63" t="s">
        <v>15</v>
      </c>
      <c r="O22" s="61"/>
      <c r="P22" s="64"/>
      <c r="Q22" s="63"/>
    </row>
    <row r="23" spans="2:17" ht="12.75">
      <c r="B23" s="61" t="s">
        <v>9</v>
      </c>
      <c r="C23" s="62">
        <v>12</v>
      </c>
      <c r="D23" s="63" t="s">
        <v>10</v>
      </c>
      <c r="F23" s="61" t="s">
        <v>80</v>
      </c>
      <c r="G23" s="70">
        <v>2</v>
      </c>
      <c r="H23" s="63"/>
      <c r="J23" s="67"/>
      <c r="K23" s="76"/>
      <c r="L23" s="72">
        <f>ROUND(L22*10^6/1440,2)</f>
        <v>34.72</v>
      </c>
      <c r="M23" s="69" t="s">
        <v>2</v>
      </c>
      <c r="O23" s="67"/>
      <c r="P23" s="76"/>
      <c r="Q23" s="69"/>
    </row>
    <row r="24" spans="2:8" ht="12.75">
      <c r="B24" s="61" t="s">
        <v>23</v>
      </c>
      <c r="C24" s="62">
        <v>2</v>
      </c>
      <c r="D24" s="63" t="s">
        <v>24</v>
      </c>
      <c r="F24" s="61" t="s">
        <v>84</v>
      </c>
      <c r="G24" s="70">
        <v>1200</v>
      </c>
      <c r="H24" s="63" t="s">
        <v>5</v>
      </c>
    </row>
    <row r="25" spans="2:8" ht="12.75">
      <c r="B25" s="61" t="s">
        <v>11</v>
      </c>
      <c r="C25" s="62">
        <v>3000</v>
      </c>
      <c r="D25" s="63" t="s">
        <v>5</v>
      </c>
      <c r="F25" s="61"/>
      <c r="G25" s="66"/>
      <c r="H25" s="63"/>
    </row>
    <row r="26" spans="2:14" ht="12.75">
      <c r="B26" s="61" t="s">
        <v>12</v>
      </c>
      <c r="C26" s="62">
        <v>2400</v>
      </c>
      <c r="D26" s="63" t="s">
        <v>5</v>
      </c>
      <c r="F26" s="61" t="s">
        <v>81</v>
      </c>
      <c r="G26" s="66"/>
      <c r="H26" s="63"/>
      <c r="J26" s="40" t="s">
        <v>87</v>
      </c>
      <c r="K26" s="40"/>
      <c r="L26" s="55">
        <f>ROUND(C30*C25*8.34,0)</f>
        <v>33677</v>
      </c>
      <c r="N26" s="38" t="s">
        <v>94</v>
      </c>
    </row>
    <row r="27" spans="2:14" ht="12.75">
      <c r="B27" s="61"/>
      <c r="C27" s="64"/>
      <c r="D27" s="63"/>
      <c r="F27" s="61"/>
      <c r="G27" s="64"/>
      <c r="H27" s="63"/>
      <c r="J27" s="40" t="s">
        <v>88</v>
      </c>
      <c r="K27" s="40"/>
      <c r="L27" s="55">
        <f>ROUND(G30*G24*8.34,0)</f>
        <v>5965</v>
      </c>
      <c r="N27" s="38" t="s">
        <v>94</v>
      </c>
    </row>
    <row r="28" spans="2:14" ht="12.75">
      <c r="B28" s="61" t="s">
        <v>19</v>
      </c>
      <c r="C28" s="65">
        <f>ROUND(C21*C22*C23*C24,1)</f>
        <v>180000</v>
      </c>
      <c r="D28" s="63" t="s">
        <v>20</v>
      </c>
      <c r="F28" s="61" t="s">
        <v>19</v>
      </c>
      <c r="G28" s="71">
        <f>ROUND(PI()*((G21/2)^2)*G22*G23,1)</f>
        <v>79639.4</v>
      </c>
      <c r="H28" s="63" t="s">
        <v>20</v>
      </c>
      <c r="J28" s="40" t="s">
        <v>89</v>
      </c>
      <c r="K28" s="40"/>
      <c r="L28" s="55">
        <f>ROUND(L22*L21*8.34,0)</f>
        <v>2711</v>
      </c>
      <c r="N28" s="38" t="s">
        <v>94</v>
      </c>
    </row>
    <row r="29" spans="2:14" ht="12.75">
      <c r="B29" s="61"/>
      <c r="C29" s="65">
        <f>ROUND(C28*7.48,1)</f>
        <v>1346400</v>
      </c>
      <c r="D29" s="63" t="s">
        <v>21</v>
      </c>
      <c r="F29" s="61"/>
      <c r="G29" s="71">
        <f>ROUND(G28*7.48,1)</f>
        <v>595702.7</v>
      </c>
      <c r="H29" s="63" t="s">
        <v>21</v>
      </c>
      <c r="J29" s="40" t="s">
        <v>90</v>
      </c>
      <c r="K29" s="40"/>
      <c r="L29" s="55">
        <f>ROUND(P21*B13*8.34,1)</f>
        <v>400.3</v>
      </c>
      <c r="N29" s="38" t="s">
        <v>94</v>
      </c>
    </row>
    <row r="30" spans="2:11" ht="12.75">
      <c r="B30" s="61"/>
      <c r="C30" s="66">
        <f>ROUND(C29/10^6,3)</f>
        <v>1.346</v>
      </c>
      <c r="D30" s="63" t="s">
        <v>22</v>
      </c>
      <c r="F30" s="61"/>
      <c r="G30" s="66">
        <f>ROUND(G29/10^6,3)</f>
        <v>0.596</v>
      </c>
      <c r="H30" s="63" t="s">
        <v>22</v>
      </c>
      <c r="J30" s="40"/>
      <c r="K30" s="40"/>
    </row>
    <row r="31" spans="2:14" ht="12.75">
      <c r="B31" s="67" t="s">
        <v>82</v>
      </c>
      <c r="C31" s="68">
        <f>ROUND(C30/B13*24,2)</f>
        <v>8.08</v>
      </c>
      <c r="D31" s="69" t="s">
        <v>68</v>
      </c>
      <c r="F31" s="67" t="s">
        <v>82</v>
      </c>
      <c r="G31" s="72">
        <f>ROUND(G30/B13*24,2)</f>
        <v>3.58</v>
      </c>
      <c r="H31" s="69" t="s">
        <v>68</v>
      </c>
      <c r="J31" s="40" t="s">
        <v>91</v>
      </c>
      <c r="K31" s="40"/>
      <c r="L31" s="54">
        <f>ROUND((L26)/(L28+L29),2)</f>
        <v>10.82</v>
      </c>
      <c r="N31" s="38" t="s">
        <v>70</v>
      </c>
    </row>
    <row r="32" spans="10:14" ht="12.75">
      <c r="J32" s="40" t="s">
        <v>92</v>
      </c>
      <c r="K32" s="40"/>
      <c r="L32" s="54">
        <f>ROUND((L26+L27)/(L28+L29),2)</f>
        <v>12.74</v>
      </c>
      <c r="N32" s="38" t="s">
        <v>70</v>
      </c>
    </row>
    <row r="33" ht="12.75"/>
    <row r="34" ht="12.75"/>
    <row r="35" ht="12.75"/>
    <row r="36" ht="12.75"/>
    <row r="37" ht="12.75"/>
    <row r="38" ht="12.75"/>
    <row r="39" ht="12.75">
      <c r="A39" s="42" t="s">
        <v>93</v>
      </c>
    </row>
    <row r="42" spans="1:12" ht="12.75">
      <c r="A42" s="38" t="s">
        <v>40</v>
      </c>
      <c r="C42" s="168" t="str">
        <f>CONCATENATE("A WWTP has ",C24," aeration basins on-line.  The combined volume of all basins is ",C28," cuft.  If the MLSS concentration is ",C25," mg/L, how many pounds of MLSS are in the aeration basin?")</f>
        <v>A WWTP has 2 aeration basins on-line.  The combined volume of all basins is 180000 cuft.  If the MLSS concentration is 3000 mg/L, how many pounds of MLSS are in the aeration basin?</v>
      </c>
      <c r="D42" s="169"/>
      <c r="E42" s="169"/>
      <c r="F42" s="169"/>
      <c r="G42" s="169"/>
      <c r="H42" s="169"/>
      <c r="I42" s="169"/>
      <c r="J42" s="169"/>
      <c r="K42" s="169"/>
      <c r="L42" s="170"/>
    </row>
    <row r="43" spans="2:12" ht="12.75">
      <c r="B43" s="38" t="s">
        <v>13</v>
      </c>
      <c r="C43" s="171"/>
      <c r="D43" s="172"/>
      <c r="E43" s="172"/>
      <c r="F43" s="172"/>
      <c r="G43" s="172"/>
      <c r="H43" s="172"/>
      <c r="I43" s="172"/>
      <c r="J43" s="172"/>
      <c r="K43" s="172"/>
      <c r="L43" s="173"/>
    </row>
    <row r="44" spans="3:12" ht="12.75">
      <c r="C44" s="174"/>
      <c r="D44" s="175"/>
      <c r="E44" s="175"/>
      <c r="F44" s="175"/>
      <c r="G44" s="175"/>
      <c r="H44" s="175"/>
      <c r="I44" s="175"/>
      <c r="J44" s="175"/>
      <c r="K44" s="175"/>
      <c r="L44" s="176"/>
    </row>
    <row r="45" spans="3:12" ht="12.75">
      <c r="C45" s="47"/>
      <c r="D45" s="47"/>
      <c r="E45" s="47"/>
      <c r="F45" s="47"/>
      <c r="G45" s="47"/>
      <c r="H45" s="47"/>
      <c r="I45" s="47"/>
      <c r="J45" s="47"/>
      <c r="K45" s="47"/>
      <c r="L45" s="47"/>
    </row>
    <row r="46" spans="3:12" ht="12.75">
      <c r="C46" s="47" t="s">
        <v>41</v>
      </c>
      <c r="D46" s="48">
        <f>L26</f>
        <v>33677</v>
      </c>
      <c r="E46" s="49" t="s">
        <v>94</v>
      </c>
      <c r="F46" s="47"/>
      <c r="G46" s="56" t="s">
        <v>95</v>
      </c>
      <c r="H46" s="47"/>
      <c r="I46" s="47"/>
      <c r="J46" s="47"/>
      <c r="K46" s="47"/>
      <c r="L46" s="47"/>
    </row>
    <row r="47" spans="3:12" ht="12.75">
      <c r="C47" s="47"/>
      <c r="D47" s="47"/>
      <c r="E47" s="47"/>
      <c r="F47" s="47"/>
      <c r="G47" s="47"/>
      <c r="H47" s="47"/>
      <c r="I47" s="47"/>
      <c r="J47" s="47"/>
      <c r="K47" s="47"/>
      <c r="L47" s="47"/>
    </row>
    <row r="48" spans="1:12" ht="12.75">
      <c r="A48" s="38" t="s">
        <v>42</v>
      </c>
      <c r="C48" s="168" t="str">
        <f>CONCATENATE("A WWTP has ",L26," pounds of MLSS under aeration.  There are ",G23," clarifiers on-line.  Each one is ",G21," feet in diameter and ",G22," feet deep.  A core sample taken with a sludge judge contains ",G24," mg/L of TSS.  Assuming a WAS concentration of ",L21," mg/L at a flow rate of ",L23," gpm, what is the SRT or solids retention time?")</f>
        <v>A WWTP has 33677 pounds of MLSS under aeration.  There are 2 clarifiers on-line.  Each one is 65 feet in diameter and 12 feet deep.  A core sample taken with a sludge judge contains 1200 mg/L of TSS.  Assuming a WAS concentration of 6500 mg/L at a flow rate of 34.72 gpm, what is the SRT or solids retention time?</v>
      </c>
      <c r="D48" s="169"/>
      <c r="E48" s="169"/>
      <c r="F48" s="169"/>
      <c r="G48" s="169"/>
      <c r="H48" s="169"/>
      <c r="I48" s="169"/>
      <c r="J48" s="169"/>
      <c r="K48" s="169"/>
      <c r="L48" s="170"/>
    </row>
    <row r="49" spans="3:12" ht="12.75">
      <c r="C49" s="171"/>
      <c r="D49" s="172"/>
      <c r="E49" s="172"/>
      <c r="F49" s="172"/>
      <c r="G49" s="172"/>
      <c r="H49" s="172"/>
      <c r="I49" s="172"/>
      <c r="J49" s="172"/>
      <c r="K49" s="172"/>
      <c r="L49" s="173"/>
    </row>
    <row r="50" spans="3:12" ht="12.75">
      <c r="C50" s="171"/>
      <c r="D50" s="172"/>
      <c r="E50" s="172"/>
      <c r="F50" s="172"/>
      <c r="G50" s="172"/>
      <c r="H50" s="172"/>
      <c r="I50" s="172"/>
      <c r="J50" s="172"/>
      <c r="K50" s="172"/>
      <c r="L50" s="173"/>
    </row>
    <row r="51" spans="3:12" ht="12.75">
      <c r="C51" s="171"/>
      <c r="D51" s="172"/>
      <c r="E51" s="172"/>
      <c r="F51" s="172"/>
      <c r="G51" s="172"/>
      <c r="H51" s="172"/>
      <c r="I51" s="172"/>
      <c r="J51" s="172"/>
      <c r="K51" s="172"/>
      <c r="L51" s="173"/>
    </row>
    <row r="52" spans="3:12" ht="12.75">
      <c r="C52" s="174"/>
      <c r="D52" s="175"/>
      <c r="E52" s="175"/>
      <c r="F52" s="175"/>
      <c r="G52" s="175"/>
      <c r="H52" s="175"/>
      <c r="I52" s="175"/>
      <c r="J52" s="175"/>
      <c r="K52" s="175"/>
      <c r="L52" s="176"/>
    </row>
    <row r="53" spans="3:12" ht="12.75">
      <c r="C53" s="46"/>
      <c r="D53" s="46"/>
      <c r="E53" s="46"/>
      <c r="F53" s="46"/>
      <c r="G53" s="46"/>
      <c r="H53" s="46"/>
      <c r="I53" s="46"/>
      <c r="J53" s="46"/>
      <c r="K53" s="46"/>
      <c r="L53" s="46"/>
    </row>
    <row r="54" spans="3:7" ht="12.75">
      <c r="C54" s="38" t="s">
        <v>41</v>
      </c>
      <c r="D54" s="50">
        <f>L31</f>
        <v>10.82</v>
      </c>
      <c r="E54" s="38" t="s">
        <v>70</v>
      </c>
      <c r="G54" s="53" t="s">
        <v>96</v>
      </c>
    </row>
    <row r="56" spans="1:12" ht="12.75">
      <c r="A56" s="38" t="s">
        <v>46</v>
      </c>
      <c r="C56" s="179" t="str">
        <f>CONCATENATE("For the wastewater treatment plant described in problem two, where should the wasting rate be set if the target MCRT is",15," days?  The MLSS concentration is ",C25," mg/L.")</f>
        <v>For the wastewater treatment plant described in problem two, where should the wasting rate be set if the target MCRT is15 days?  The MLSS concentration is 3000 mg/L.</v>
      </c>
      <c r="D56" s="169"/>
      <c r="E56" s="169"/>
      <c r="F56" s="169"/>
      <c r="G56" s="169"/>
      <c r="H56" s="169"/>
      <c r="I56" s="169"/>
      <c r="J56" s="169"/>
      <c r="K56" s="169"/>
      <c r="L56" s="170"/>
    </row>
    <row r="57" spans="3:12" ht="12.75">
      <c r="C57" s="171"/>
      <c r="D57" s="172"/>
      <c r="E57" s="172"/>
      <c r="F57" s="172"/>
      <c r="G57" s="172"/>
      <c r="H57" s="172"/>
      <c r="I57" s="172"/>
      <c r="J57" s="172"/>
      <c r="K57" s="172"/>
      <c r="L57" s="173"/>
    </row>
    <row r="58" spans="3:12" ht="12.75">
      <c r="C58" s="174"/>
      <c r="D58" s="175"/>
      <c r="E58" s="175"/>
      <c r="F58" s="175"/>
      <c r="G58" s="175"/>
      <c r="H58" s="175"/>
      <c r="I58" s="175"/>
      <c r="J58" s="175"/>
      <c r="K58" s="175"/>
      <c r="L58" s="176"/>
    </row>
    <row r="60" spans="3:5" ht="12.75">
      <c r="C60" s="38" t="s">
        <v>41</v>
      </c>
      <c r="D60" s="52">
        <f>((L26+L27)/15)-L29</f>
        <v>2242.5</v>
      </c>
      <c r="E60" s="38" t="s">
        <v>97</v>
      </c>
    </row>
    <row r="61" spans="4:5" ht="12.75">
      <c r="D61" s="57">
        <f>(D60/8.34/L21)*10^6/1440</f>
        <v>28.727018385291764</v>
      </c>
      <c r="E61" s="38" t="s">
        <v>2</v>
      </c>
    </row>
    <row r="62" ht="12.75">
      <c r="D62" s="57"/>
    </row>
    <row r="63" ht="12.75">
      <c r="D63" s="57"/>
    </row>
    <row r="64" spans="3:6" ht="12.75">
      <c r="C64" s="38" t="s">
        <v>98</v>
      </c>
      <c r="D64" s="77" t="s">
        <v>99</v>
      </c>
      <c r="E64" s="76"/>
      <c r="F64" s="76"/>
    </row>
    <row r="65" spans="4:6" ht="12.75">
      <c r="D65" s="78" t="s">
        <v>100</v>
      </c>
      <c r="E65" s="79"/>
      <c r="F65" s="79"/>
    </row>
    <row r="66" spans="3:6" ht="12.75">
      <c r="C66" s="40" t="s">
        <v>103</v>
      </c>
      <c r="D66" s="89">
        <f>L26</f>
        <v>33677</v>
      </c>
      <c r="E66" s="81" t="s">
        <v>101</v>
      </c>
      <c r="F66" s="82">
        <f>L27</f>
        <v>5965</v>
      </c>
    </row>
    <row r="67" spans="4:6" ht="12.75">
      <c r="D67" s="90" t="s">
        <v>102</v>
      </c>
      <c r="E67" s="51" t="s">
        <v>101</v>
      </c>
      <c r="F67" s="80">
        <f>L29</f>
        <v>400.3</v>
      </c>
    </row>
    <row r="68" ht="12.75">
      <c r="D68" s="57"/>
    </row>
    <row r="70" spans="1:12" ht="12.75">
      <c r="A70" s="38" t="s">
        <v>48</v>
      </c>
      <c r="C70" s="168" t="str">
        <f>CONCATENATE("A WWTP has ",C24," aeration basins on-line.  Each basin is ",C21," feet long by ",C22," feet wide by ",C23," feet deep.  The MLSS concentration is ",C25," mg/L.  The waste pump operates at ",L23," gpm for 15 minutes out of every hour.  If the WAS concentration is ",L21," mg/L, what is the SRT?")</f>
        <v>A WWTP has 2 aeration basins on-line.  Each basin is 150 feet long by 50 feet wide by 12 feet deep.  The MLSS concentration is 3000 mg/L.  The waste pump operates at 34.72 gpm for 15 minutes out of every hour.  If the WAS concentration is 6500 mg/L, what is the SRT?</v>
      </c>
      <c r="D70" s="169"/>
      <c r="E70" s="169"/>
      <c r="F70" s="169"/>
      <c r="G70" s="169"/>
      <c r="H70" s="169"/>
      <c r="I70" s="169"/>
      <c r="J70" s="169"/>
      <c r="K70" s="169"/>
      <c r="L70" s="170"/>
    </row>
    <row r="71" spans="3:12" ht="12.75">
      <c r="C71" s="171"/>
      <c r="D71" s="172"/>
      <c r="E71" s="172"/>
      <c r="F71" s="172"/>
      <c r="G71" s="172"/>
      <c r="H71" s="172"/>
      <c r="I71" s="172"/>
      <c r="J71" s="172"/>
      <c r="K71" s="172"/>
      <c r="L71" s="173"/>
    </row>
    <row r="72" spans="3:12" ht="12.75">
      <c r="C72" s="171"/>
      <c r="D72" s="172"/>
      <c r="E72" s="172"/>
      <c r="F72" s="172"/>
      <c r="G72" s="172"/>
      <c r="H72" s="172"/>
      <c r="I72" s="172"/>
      <c r="J72" s="172"/>
      <c r="K72" s="172"/>
      <c r="L72" s="173"/>
    </row>
    <row r="73" spans="3:12" ht="12.75">
      <c r="C73" s="171"/>
      <c r="D73" s="172"/>
      <c r="E73" s="172"/>
      <c r="F73" s="172"/>
      <c r="G73" s="172"/>
      <c r="H73" s="172"/>
      <c r="I73" s="172"/>
      <c r="J73" s="172"/>
      <c r="K73" s="172"/>
      <c r="L73" s="173"/>
    </row>
    <row r="74" spans="3:12" ht="12.75">
      <c r="C74" s="174"/>
      <c r="D74" s="175"/>
      <c r="E74" s="175"/>
      <c r="F74" s="175"/>
      <c r="G74" s="175"/>
      <c r="H74" s="175"/>
      <c r="I74" s="175"/>
      <c r="J74" s="175"/>
      <c r="K74" s="175"/>
      <c r="L74" s="176"/>
    </row>
    <row r="76" spans="3:7" ht="12.75">
      <c r="C76" s="38" t="s">
        <v>41</v>
      </c>
      <c r="D76" s="57">
        <f>(C25*C30*8.34)/((L28/4)+L29)</f>
        <v>31.238736607764025</v>
      </c>
      <c r="E76" s="38" t="s">
        <v>70</v>
      </c>
      <c r="G76" s="53" t="s">
        <v>104</v>
      </c>
    </row>
    <row r="78" spans="1:12" ht="12.75">
      <c r="A78" s="38" t="s">
        <v>49</v>
      </c>
      <c r="C78" s="168" t="s">
        <v>105</v>
      </c>
      <c r="D78" s="169"/>
      <c r="E78" s="169"/>
      <c r="F78" s="169"/>
      <c r="G78" s="169"/>
      <c r="H78" s="169"/>
      <c r="I78" s="169"/>
      <c r="J78" s="169"/>
      <c r="K78" s="169"/>
      <c r="L78" s="170"/>
    </row>
    <row r="79" spans="3:12" ht="12.75">
      <c r="C79" s="171"/>
      <c r="D79" s="172"/>
      <c r="E79" s="172"/>
      <c r="F79" s="172"/>
      <c r="G79" s="172"/>
      <c r="H79" s="172"/>
      <c r="I79" s="172"/>
      <c r="J79" s="172"/>
      <c r="K79" s="172"/>
      <c r="L79" s="173"/>
    </row>
    <row r="80" spans="3:12" ht="12.75">
      <c r="C80" s="174"/>
      <c r="D80" s="175"/>
      <c r="E80" s="175"/>
      <c r="F80" s="175"/>
      <c r="G80" s="175"/>
      <c r="H80" s="175"/>
      <c r="I80" s="175"/>
      <c r="J80" s="175"/>
      <c r="K80" s="175"/>
      <c r="L80" s="176"/>
    </row>
    <row r="82" spans="3:9" ht="12.75">
      <c r="C82" s="38" t="s">
        <v>41</v>
      </c>
      <c r="D82" s="83">
        <f>(L27)/(L26+L27)</f>
        <v>0.1504717219111044</v>
      </c>
      <c r="H82" s="52"/>
      <c r="I82" s="53"/>
    </row>
    <row r="84" spans="3:12" ht="12.75">
      <c r="C84" s="177"/>
      <c r="D84" s="177"/>
      <c r="E84" s="177"/>
      <c r="F84" s="177"/>
      <c r="G84" s="177"/>
      <c r="H84" s="177"/>
      <c r="I84" s="177"/>
      <c r="J84" s="177"/>
      <c r="K84" s="177"/>
      <c r="L84" s="177"/>
    </row>
    <row r="85" spans="3:12" ht="12.75">
      <c r="C85" s="177"/>
      <c r="D85" s="177"/>
      <c r="E85" s="177"/>
      <c r="F85" s="177"/>
      <c r="G85" s="177"/>
      <c r="H85" s="177"/>
      <c r="I85" s="177"/>
      <c r="J85" s="177"/>
      <c r="K85" s="177"/>
      <c r="L85" s="177"/>
    </row>
    <row r="86" spans="3:12" ht="12.75">
      <c r="C86" s="178"/>
      <c r="D86" s="178"/>
      <c r="E86" s="178"/>
      <c r="F86" s="178"/>
      <c r="G86" s="178"/>
      <c r="H86" s="178"/>
      <c r="I86" s="178"/>
      <c r="J86" s="178"/>
      <c r="K86" s="178"/>
      <c r="L86" s="178"/>
    </row>
  </sheetData>
  <sheetProtection password="DDB7" sheet="1" objects="1" scenarios="1"/>
  <mergeCells count="6">
    <mergeCell ref="C78:L80"/>
    <mergeCell ref="C84:L86"/>
    <mergeCell ref="C42:L44"/>
    <mergeCell ref="C48:L52"/>
    <mergeCell ref="C56:L58"/>
    <mergeCell ref="C70:L74"/>
  </mergeCells>
  <printOptions/>
  <pageMargins left="0.75" right="0.75" top="1" bottom="1" header="0.5" footer="0.5"/>
  <pageSetup fitToHeight="10" fitToWidth="1" horizontalDpi="1200" verticalDpi="1200" orientation="portrait" scale="67" r:id="rId5"/>
  <drawing r:id="rId4"/>
  <legacyDrawing r:id="rId3"/>
  <oleObjects>
    <oleObject progId="Equation.3" shapeId="53586" r:id="rId1"/>
    <oleObject progId="Equation.3" shapeId="8190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Sidney Biesterfeld</dc:creator>
  <cp:keywords/>
  <dc:description/>
  <cp:lastModifiedBy>Sidney</cp:lastModifiedBy>
  <cp:lastPrinted>2007-02-25T17:46:40Z</cp:lastPrinted>
  <dcterms:created xsi:type="dcterms:W3CDTF">2005-02-16T03:22:14Z</dcterms:created>
  <dcterms:modified xsi:type="dcterms:W3CDTF">2017-04-10T16:02:24Z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1779106227</vt:i4>
  </property>
  <property fmtid="{D5CDD505-2E9C-101B-9397-08002B2CF9AE}" pid="3" name="_EmailSubject">
    <vt:lpwstr>your math class </vt:lpwstr>
  </property>
  <property fmtid="{D5CDD505-2E9C-101B-9397-08002B2CF9AE}" pid="4" name="_AuthorEmail">
    <vt:lpwstr>sewerpro@comcast.net</vt:lpwstr>
  </property>
  <property fmtid="{D5CDD505-2E9C-101B-9397-08002B2CF9AE}" pid="5" name="_AuthorEmailDisplayName">
    <vt:lpwstr>Sidney Biesterfeld</vt:lpwstr>
  </property>
  <property fmtid="{D5CDD505-2E9C-101B-9397-08002B2CF9AE}" pid="6" name="_ReviewingToolsShownOnce">
    <vt:lpwstr/>
  </property>
</Properties>
</file>