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C:\Users\sidne\Dropbox\0000 Training Stuff\TU Approvals\"/>
    </mc:Choice>
  </mc:AlternateContent>
  <xr:revisionPtr revIDLastSave="0" documentId="8_{D57A150E-B726-4DFD-AD90-AD71C28C20A4}" xr6:coauthVersionLast="47" xr6:coauthVersionMax="47" xr10:uidLastSave="{00000000-0000-0000-0000-000000000000}"/>
  <bookViews>
    <workbookView xWindow="-120" yWindow="-120" windowWidth="29040" windowHeight="15720" tabRatio="817" xr2:uid="{00000000-000D-0000-FFFF-FFFF00000000}"/>
  </bookViews>
  <sheets>
    <sheet name="2025NewCourses" sheetId="5" r:id="rId1"/>
    <sheet name="Learning Paths" sheetId="14" r:id="rId2"/>
    <sheet name="Wastewater Short School" sheetId="7" r:id="rId3"/>
    <sheet name="Water Short School" sheetId="8" r:id="rId4"/>
    <sheet name="Exam Cram" sheetId="13" r:id="rId5"/>
  </sheets>
  <definedNames>
    <definedName name="COMaxTUsTotal">#REF!</definedName>
    <definedName name="_xlnm.Print_Area" localSheetId="0">'2025NewCourses'!$B$1:$CP$123</definedName>
    <definedName name="_xlnm.Print_Area" localSheetId="4">'Exam Cram'!$A$28:$K$43</definedName>
    <definedName name="_xlnm.Print_Area" localSheetId="1">'Learning Paths'!$A$1:$I$422</definedName>
    <definedName name="_xlnm.Print_Area" localSheetId="2">'Wastewater Short School'!$A$1:$J$42</definedName>
    <definedName name="_xlnm.Print_Area" localSheetId="3">'Water Short School'!$A$1:$K$41</definedName>
    <definedName name="_xlnm.Print_Titles" localSheetId="0">'2025NewCourses'!$B:$D,'2025NewCourses'!$2:$2</definedName>
    <definedName name="TotalHoursEarn">#REF!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5" i="5" l="1"/>
  <c r="AN125" i="5"/>
  <c r="AO125" i="5"/>
  <c r="AP125" i="5"/>
  <c r="AQ125" i="5"/>
  <c r="AR125" i="5"/>
  <c r="AS125" i="5"/>
  <c r="AV125" i="5"/>
  <c r="AW125" i="5"/>
  <c r="BF125" i="5"/>
  <c r="BM125" i="5"/>
  <c r="BN125" i="5"/>
  <c r="BO125" i="5"/>
  <c r="BP125" i="5"/>
  <c r="BR125" i="5"/>
  <c r="BT125" i="5"/>
  <c r="BX125" i="5"/>
  <c r="CE125" i="5"/>
  <c r="CF125" i="5"/>
  <c r="CI125" i="5"/>
  <c r="CJ125" i="5"/>
  <c r="CM125" i="5"/>
  <c r="CO125" i="5"/>
  <c r="AB44" i="5"/>
  <c r="AA2" i="14"/>
  <c r="D323" i="14"/>
  <c r="AA12" i="14"/>
  <c r="D324" i="14"/>
  <c r="AA16" i="14"/>
  <c r="D325" i="14"/>
  <c r="AA24" i="14"/>
  <c r="D326" i="14"/>
  <c r="AA47" i="14"/>
  <c r="D327" i="14"/>
  <c r="AA48" i="14"/>
  <c r="D328" i="14"/>
  <c r="AA49" i="14"/>
  <c r="D329" i="14"/>
  <c r="AA50" i="14"/>
  <c r="D330" i="14"/>
  <c r="AA52" i="14"/>
  <c r="D331" i="14"/>
  <c r="AA63" i="14"/>
  <c r="D332" i="14"/>
  <c r="AA71" i="14"/>
  <c r="D333" i="14"/>
  <c r="AA72" i="14"/>
  <c r="D334" i="14"/>
  <c r="AA73" i="14"/>
  <c r="D335" i="14"/>
  <c r="AA74" i="14"/>
  <c r="D336" i="14"/>
  <c r="AA92" i="14"/>
  <c r="D337" i="14"/>
  <c r="D338" i="14"/>
  <c r="D404" i="14"/>
  <c r="AA3" i="14"/>
  <c r="D405" i="14"/>
  <c r="AA13" i="14"/>
  <c r="D406" i="14"/>
  <c r="AA14" i="14"/>
  <c r="D407" i="14"/>
  <c r="AA15" i="14"/>
  <c r="D408" i="14"/>
  <c r="D409" i="14"/>
  <c r="AA54" i="14"/>
  <c r="D410" i="14"/>
  <c r="AA55" i="14"/>
  <c r="D411" i="14"/>
  <c r="AA56" i="14"/>
  <c r="D412" i="14"/>
  <c r="AA42" i="14"/>
  <c r="D414" i="14"/>
  <c r="AA45" i="14"/>
  <c r="D415" i="14"/>
  <c r="D416" i="14"/>
  <c r="D417" i="14"/>
  <c r="AA51" i="14"/>
  <c r="D418" i="14"/>
  <c r="D419" i="14"/>
  <c r="D420" i="14"/>
  <c r="D387" i="14"/>
  <c r="AA6" i="14"/>
  <c r="D388" i="14"/>
  <c r="D389" i="14"/>
  <c r="D390" i="14"/>
  <c r="D391" i="14"/>
  <c r="D392" i="14"/>
  <c r="D393" i="14"/>
  <c r="D394" i="14"/>
  <c r="D395" i="14"/>
  <c r="D396" i="14"/>
  <c r="D397" i="14"/>
  <c r="D398" i="14"/>
  <c r="D399" i="14"/>
  <c r="D400" i="14"/>
  <c r="D374" i="14"/>
  <c r="D375" i="14"/>
  <c r="D376" i="14"/>
  <c r="D377" i="14"/>
  <c r="D378" i="14"/>
  <c r="D379" i="14"/>
  <c r="D380" i="14"/>
  <c r="D381" i="14"/>
  <c r="D382" i="14"/>
  <c r="D383" i="14"/>
  <c r="D342" i="14"/>
  <c r="AA7" i="14"/>
  <c r="D343" i="14"/>
  <c r="AA10" i="14"/>
  <c r="D344" i="14"/>
  <c r="D345" i="14"/>
  <c r="D346" i="14"/>
  <c r="D347" i="14"/>
  <c r="D348" i="14"/>
  <c r="D349" i="14"/>
  <c r="D350" i="14"/>
  <c r="D351" i="14"/>
  <c r="D352" i="14"/>
  <c r="D353" i="14"/>
  <c r="AA66" i="14"/>
  <c r="D354" i="14"/>
  <c r="D355" i="14"/>
  <c r="D356" i="14"/>
  <c r="D357" i="14"/>
  <c r="D358" i="14"/>
  <c r="D359" i="14"/>
  <c r="D360" i="14"/>
  <c r="G28" i="8"/>
  <c r="H28" i="8"/>
  <c r="I28" i="8"/>
  <c r="J28" i="8"/>
  <c r="K28" i="8"/>
  <c r="F28" i="8"/>
  <c r="D28" i="8"/>
  <c r="C28" i="8"/>
  <c r="B28" i="8"/>
  <c r="A188" i="14"/>
  <c r="AA39" i="14"/>
  <c r="D14" i="14"/>
  <c r="AA40" i="14"/>
  <c r="D15" i="14"/>
  <c r="AA41" i="14"/>
  <c r="D16" i="14"/>
  <c r="D17" i="14"/>
  <c r="D21" i="14"/>
  <c r="D22" i="14"/>
  <c r="AA8" i="14"/>
  <c r="D23" i="14"/>
  <c r="AA19" i="14"/>
  <c r="D24" i="14"/>
  <c r="AA23" i="14"/>
  <c r="D25" i="14"/>
  <c r="D26" i="14"/>
  <c r="D30" i="14"/>
  <c r="AA43" i="14"/>
  <c r="D31" i="14"/>
  <c r="D32" i="14"/>
  <c r="D33" i="14"/>
  <c r="D34" i="14"/>
  <c r="AA20" i="14"/>
  <c r="D35" i="14"/>
  <c r="D36" i="14"/>
  <c r="D40" i="14"/>
  <c r="D41" i="14"/>
  <c r="AA21" i="14"/>
  <c r="D42" i="14"/>
  <c r="AA22" i="14"/>
  <c r="D43" i="14"/>
  <c r="D44" i="14"/>
  <c r="D45" i="14"/>
  <c r="AA25" i="14"/>
  <c r="D46" i="14"/>
  <c r="AA26" i="14"/>
  <c r="D47" i="14"/>
  <c r="AA27" i="14"/>
  <c r="D48" i="14"/>
  <c r="AA28" i="14"/>
  <c r="D49" i="14"/>
  <c r="AA29" i="14"/>
  <c r="D50" i="14"/>
  <c r="D51" i="14"/>
  <c r="I38" i="14"/>
  <c r="D55" i="14"/>
  <c r="D56" i="14"/>
  <c r="D57" i="14"/>
  <c r="D58" i="14"/>
  <c r="D59" i="14"/>
  <c r="D60" i="14"/>
  <c r="D61" i="14"/>
  <c r="D62" i="14"/>
  <c r="D63" i="14"/>
  <c r="D65" i="14"/>
  <c r="D66" i="14"/>
  <c r="D64" i="14"/>
  <c r="D67" i="14"/>
  <c r="D71" i="14"/>
  <c r="D72" i="14"/>
  <c r="D73" i="14"/>
  <c r="D74" i="14"/>
  <c r="D75" i="14"/>
  <c r="D76" i="14"/>
  <c r="D77" i="14"/>
  <c r="D81" i="14"/>
  <c r="D82" i="14"/>
  <c r="D83" i="14"/>
  <c r="D84" i="14"/>
  <c r="D85" i="14"/>
  <c r="D86" i="14"/>
  <c r="D87" i="14"/>
  <c r="D88" i="14"/>
  <c r="D89" i="14"/>
  <c r="D90" i="14"/>
  <c r="D91" i="14"/>
  <c r="D95" i="14"/>
  <c r="D96" i="14"/>
  <c r="D97" i="14"/>
  <c r="D98" i="14"/>
  <c r="D99" i="14"/>
  <c r="D100" i="14"/>
  <c r="D101" i="14"/>
  <c r="D102" i="14"/>
  <c r="D103" i="14"/>
  <c r="D104" i="14"/>
  <c r="D105" i="14"/>
  <c r="D106" i="14"/>
  <c r="D107" i="14"/>
  <c r="D108" i="14"/>
  <c r="AA35" i="14"/>
  <c r="D109" i="14"/>
  <c r="D110" i="14"/>
  <c r="D111" i="14"/>
  <c r="D115" i="14"/>
  <c r="D116" i="14"/>
  <c r="D117" i="14"/>
  <c r="D118" i="14"/>
  <c r="D119" i="14"/>
  <c r="D120" i="14"/>
  <c r="D121" i="14"/>
  <c r="D122" i="14"/>
  <c r="D123" i="14"/>
  <c r="D124" i="14"/>
  <c r="D125" i="14"/>
  <c r="D126" i="14"/>
  <c r="D127" i="14"/>
  <c r="D128" i="14"/>
  <c r="D129" i="14"/>
  <c r="D130" i="14"/>
  <c r="D131" i="14"/>
  <c r="D132" i="14"/>
  <c r="D133" i="14"/>
  <c r="D137" i="14"/>
  <c r="AA5" i="14"/>
  <c r="D138" i="14"/>
  <c r="D139" i="14"/>
  <c r="D140" i="14"/>
  <c r="D141" i="14"/>
  <c r="AA59" i="14"/>
  <c r="D142" i="14"/>
  <c r="AA60" i="14"/>
  <c r="D143" i="14"/>
  <c r="AA61" i="14"/>
  <c r="D144" i="14"/>
  <c r="D145" i="14"/>
  <c r="D146" i="14"/>
  <c r="D147" i="14"/>
  <c r="D148" i="14"/>
  <c r="I135" i="14"/>
  <c r="D152" i="14"/>
  <c r="D153" i="14"/>
  <c r="D154" i="14"/>
  <c r="D155" i="14"/>
  <c r="D156" i="14"/>
  <c r="D157" i="14"/>
  <c r="D158" i="14"/>
  <c r="D159" i="14"/>
  <c r="D163" i="14"/>
  <c r="D164" i="14"/>
  <c r="D165" i="14"/>
  <c r="D166" i="14"/>
  <c r="D167" i="14"/>
  <c r="D168" i="14"/>
  <c r="D169" i="14"/>
  <c r="D170" i="14"/>
  <c r="AA82" i="14"/>
  <c r="D171" i="14"/>
  <c r="D172" i="14"/>
  <c r="AA93" i="14"/>
  <c r="D173" i="14"/>
  <c r="D174" i="14"/>
  <c r="I161" i="14"/>
  <c r="AA67" i="14"/>
  <c r="D188" i="14"/>
  <c r="D178" i="14"/>
  <c r="D179" i="14"/>
  <c r="AA77" i="14"/>
  <c r="D180" i="14"/>
  <c r="AA78" i="14"/>
  <c r="D181" i="14"/>
  <c r="AA79" i="14"/>
  <c r="D182" i="14"/>
  <c r="D183" i="14"/>
  <c r="AA85" i="14"/>
  <c r="D184" i="14"/>
  <c r="AA86" i="14"/>
  <c r="D185" i="14"/>
  <c r="AA87" i="14"/>
  <c r="D186" i="14"/>
  <c r="D187" i="14"/>
  <c r="D189" i="14"/>
  <c r="D193" i="14"/>
  <c r="D194" i="14"/>
  <c r="D195" i="14"/>
  <c r="D196" i="14"/>
  <c r="D197" i="14"/>
  <c r="D198" i="14"/>
  <c r="D199" i="14"/>
  <c r="D200" i="14"/>
  <c r="D201" i="14"/>
  <c r="D202" i="14"/>
  <c r="AA88" i="14"/>
  <c r="D203" i="14"/>
  <c r="AA91" i="14"/>
  <c r="D204" i="14"/>
  <c r="D205" i="14"/>
  <c r="D206" i="14"/>
  <c r="D207" i="14"/>
  <c r="D211" i="14"/>
  <c r="AA62" i="14"/>
  <c r="D212" i="14"/>
  <c r="D213" i="14"/>
  <c r="D214" i="14"/>
  <c r="D215" i="14"/>
  <c r="D216" i="14"/>
  <c r="D217" i="14"/>
  <c r="D218" i="14"/>
  <c r="D219" i="14"/>
  <c r="D220" i="14"/>
  <c r="AA84" i="14"/>
  <c r="D224" i="14"/>
  <c r="D225" i="14"/>
  <c r="D226" i="14"/>
  <c r="D227" i="14"/>
  <c r="D228" i="14"/>
  <c r="D229" i="14"/>
  <c r="D230" i="14"/>
  <c r="D234" i="14"/>
  <c r="D235" i="14"/>
  <c r="D236" i="14"/>
  <c r="D237" i="14"/>
  <c r="D238" i="14"/>
  <c r="D239" i="14"/>
  <c r="D240" i="14"/>
  <c r="D244" i="14"/>
  <c r="D245" i="14"/>
  <c r="D246" i="14"/>
  <c r="D247" i="14"/>
  <c r="D248" i="14"/>
  <c r="D249" i="14"/>
  <c r="D250" i="14"/>
  <c r="AA18" i="14"/>
  <c r="D251" i="14"/>
  <c r="D252" i="14"/>
  <c r="D253" i="14"/>
  <c r="D254" i="14"/>
  <c r="D255" i="14"/>
  <c r="D259" i="14"/>
  <c r="D260" i="14"/>
  <c r="D261" i="14"/>
  <c r="D262" i="14"/>
  <c r="D263" i="14"/>
  <c r="D264" i="14"/>
  <c r="D265" i="14"/>
  <c r="D266" i="14"/>
  <c r="D267" i="14"/>
  <c r="D268" i="14"/>
  <c r="D269" i="14"/>
  <c r="D270" i="14"/>
  <c r="D271" i="14"/>
  <c r="D272" i="14"/>
  <c r="D273" i="14"/>
  <c r="D277" i="14"/>
  <c r="D278" i="14"/>
  <c r="D279" i="14"/>
  <c r="D280" i="14"/>
  <c r="D281" i="14"/>
  <c r="D282" i="14"/>
  <c r="D283" i="14"/>
  <c r="D284" i="14"/>
  <c r="D285" i="14"/>
  <c r="D286" i="14"/>
  <c r="AA17" i="14"/>
  <c r="D287" i="14"/>
  <c r="D288" i="14"/>
  <c r="D289" i="14"/>
  <c r="D290" i="14"/>
  <c r="D291" i="14"/>
  <c r="D292" i="14"/>
  <c r="D293" i="14"/>
  <c r="D294" i="14"/>
  <c r="I275" i="14"/>
  <c r="D298" i="14"/>
  <c r="D299" i="14"/>
  <c r="D300" i="14"/>
  <c r="D301" i="14"/>
  <c r="D302" i="14"/>
  <c r="D303" i="14"/>
  <c r="D304" i="14"/>
  <c r="D305" i="14"/>
  <c r="I296" i="14"/>
  <c r="D309" i="14"/>
  <c r="D310" i="14"/>
  <c r="D311" i="14"/>
  <c r="D312" i="14"/>
  <c r="D313" i="14"/>
  <c r="D314" i="14"/>
  <c r="D315" i="14"/>
  <c r="D316" i="14"/>
  <c r="D317" i="14"/>
  <c r="D318" i="14"/>
  <c r="D319" i="14"/>
  <c r="D364" i="14"/>
  <c r="D365" i="14"/>
  <c r="D366" i="14"/>
  <c r="D367" i="14"/>
  <c r="D368" i="14"/>
  <c r="D369" i="14"/>
  <c r="D370" i="14"/>
  <c r="AA32" i="14"/>
  <c r="D3" i="14"/>
  <c r="AA33" i="14"/>
  <c r="D4" i="14"/>
  <c r="AA34" i="14"/>
  <c r="D5" i="14"/>
  <c r="D6" i="14"/>
  <c r="AA36" i="14"/>
  <c r="D7" i="14"/>
  <c r="AA37" i="14"/>
  <c r="D8" i="14"/>
  <c r="AA38" i="14"/>
  <c r="D9" i="14"/>
  <c r="D10" i="14"/>
  <c r="X31" i="14"/>
  <c r="B165" i="14"/>
  <c r="Z60" i="14"/>
  <c r="C165" i="14"/>
  <c r="AB60" i="14"/>
  <c r="E165" i="14"/>
  <c r="AC60" i="14"/>
  <c r="F165" i="14"/>
  <c r="AD60" i="14"/>
  <c r="G165" i="14"/>
  <c r="AE60" i="14"/>
  <c r="H165" i="14"/>
  <c r="AF60" i="14"/>
  <c r="I165" i="14"/>
  <c r="A166" i="14"/>
  <c r="A126" i="14"/>
  <c r="A109" i="14"/>
  <c r="B109" i="14"/>
  <c r="Z51" i="14"/>
  <c r="Z35" i="14"/>
  <c r="C109" i="14"/>
  <c r="AB51" i="14"/>
  <c r="AB35" i="14"/>
  <c r="E109" i="14"/>
  <c r="AC51" i="14"/>
  <c r="AC35" i="14"/>
  <c r="F109" i="14"/>
  <c r="AD51" i="14"/>
  <c r="AD35" i="14"/>
  <c r="G109" i="14"/>
  <c r="AE51" i="14"/>
  <c r="AE35" i="14"/>
  <c r="H109" i="14"/>
  <c r="AF51" i="14"/>
  <c r="AF35" i="14"/>
  <c r="I109" i="14"/>
  <c r="A106" i="14"/>
  <c r="A105" i="14"/>
  <c r="Y55" i="14"/>
  <c r="B105" i="14"/>
  <c r="Z55" i="14"/>
  <c r="C105" i="14"/>
  <c r="AB55" i="14"/>
  <c r="E105" i="14"/>
  <c r="AC55" i="14"/>
  <c r="F105" i="14"/>
  <c r="AD55" i="14"/>
  <c r="G105" i="14"/>
  <c r="AE55" i="14"/>
  <c r="H105" i="14"/>
  <c r="AF55" i="14"/>
  <c r="I105" i="14"/>
  <c r="Y56" i="14"/>
  <c r="B106" i="14"/>
  <c r="Z56" i="14"/>
  <c r="C106" i="14"/>
  <c r="AB56" i="14"/>
  <c r="E106" i="14"/>
  <c r="AC56" i="14"/>
  <c r="F106" i="14"/>
  <c r="AD56" i="14"/>
  <c r="G106" i="14"/>
  <c r="AE56" i="14"/>
  <c r="H106" i="14"/>
  <c r="AF56" i="14"/>
  <c r="I106" i="14"/>
  <c r="A104" i="14"/>
  <c r="A61" i="14"/>
  <c r="B61" i="14"/>
  <c r="Z49" i="14"/>
  <c r="C61" i="14"/>
  <c r="AB49" i="14"/>
  <c r="E61" i="14"/>
  <c r="AC49" i="14"/>
  <c r="F61" i="14"/>
  <c r="AD49" i="14"/>
  <c r="G61" i="14"/>
  <c r="AE49" i="14"/>
  <c r="H61" i="14"/>
  <c r="AF49" i="14"/>
  <c r="I61" i="14"/>
  <c r="A63" i="14"/>
  <c r="Y54" i="14"/>
  <c r="B63" i="14"/>
  <c r="A64" i="14"/>
  <c r="B64" i="14"/>
  <c r="Z38" i="14"/>
  <c r="AB38" i="14"/>
  <c r="AC38" i="14"/>
  <c r="AD38" i="14"/>
  <c r="AE38" i="14"/>
  <c r="AF38" i="14"/>
  <c r="A31" i="14"/>
  <c r="A32" i="14"/>
  <c r="B32" i="14"/>
  <c r="Z45" i="14"/>
  <c r="C32" i="14"/>
  <c r="AB45" i="14"/>
  <c r="E32" i="14"/>
  <c r="AC45" i="14"/>
  <c r="F32" i="14"/>
  <c r="AD45" i="14"/>
  <c r="G32" i="14"/>
  <c r="AE45" i="14"/>
  <c r="H32" i="14"/>
  <c r="AF45" i="14"/>
  <c r="I32" i="14"/>
  <c r="AB3" i="14"/>
  <c r="AC3" i="14"/>
  <c r="AD3" i="14"/>
  <c r="AE3" i="14"/>
  <c r="AF3" i="14"/>
  <c r="AA4" i="14"/>
  <c r="AB4" i="14"/>
  <c r="AC4" i="14"/>
  <c r="AD4" i="14"/>
  <c r="AE4" i="14"/>
  <c r="AF4" i="14"/>
  <c r="AB5" i="14"/>
  <c r="AC5" i="14"/>
  <c r="AD5" i="14"/>
  <c r="AE5" i="14"/>
  <c r="AF5" i="14"/>
  <c r="AB6" i="14"/>
  <c r="AC6" i="14"/>
  <c r="AD6" i="14"/>
  <c r="AE6" i="14"/>
  <c r="AF6" i="14"/>
  <c r="AB7" i="14"/>
  <c r="AC7" i="14"/>
  <c r="AD7" i="14"/>
  <c r="AE7" i="14"/>
  <c r="AF7" i="14"/>
  <c r="AB8" i="14"/>
  <c r="AC8" i="14"/>
  <c r="AD8" i="14"/>
  <c r="AE8" i="14"/>
  <c r="AF8" i="14"/>
  <c r="AA9" i="14"/>
  <c r="AB9" i="14"/>
  <c r="AC9" i="14"/>
  <c r="AD9" i="14"/>
  <c r="AE9" i="14"/>
  <c r="AF9" i="14"/>
  <c r="AB10" i="14"/>
  <c r="AC10" i="14"/>
  <c r="AD10" i="14"/>
  <c r="AE10" i="14"/>
  <c r="AF10" i="14"/>
  <c r="AA11" i="14"/>
  <c r="AB11" i="14"/>
  <c r="AC11" i="14"/>
  <c r="AD11" i="14"/>
  <c r="AE11" i="14"/>
  <c r="AF11" i="14"/>
  <c r="AB12" i="14"/>
  <c r="AC12" i="14"/>
  <c r="AD12" i="14"/>
  <c r="AE12" i="14"/>
  <c r="AF12" i="14"/>
  <c r="AB13" i="14"/>
  <c r="AC13" i="14"/>
  <c r="AD13" i="14"/>
  <c r="AE13" i="14"/>
  <c r="AF13" i="14"/>
  <c r="AB14" i="14"/>
  <c r="AC14" i="14"/>
  <c r="AD14" i="14"/>
  <c r="AE14" i="14"/>
  <c r="AF14" i="14"/>
  <c r="AB15" i="14"/>
  <c r="AC15" i="14"/>
  <c r="AD15" i="14"/>
  <c r="AE15" i="14"/>
  <c r="AF15" i="14"/>
  <c r="AB16" i="14"/>
  <c r="AC16" i="14"/>
  <c r="AD16" i="14"/>
  <c r="AE16" i="14"/>
  <c r="AF16" i="14"/>
  <c r="AB17" i="14"/>
  <c r="AC17" i="14"/>
  <c r="AD17" i="14"/>
  <c r="AE17" i="14"/>
  <c r="AF17" i="14"/>
  <c r="D413" i="14"/>
  <c r="AB18" i="14"/>
  <c r="AC18" i="14"/>
  <c r="AD18" i="14"/>
  <c r="AE18" i="14"/>
  <c r="AF18" i="14"/>
  <c r="AB19" i="14"/>
  <c r="AC19" i="14"/>
  <c r="AD19" i="14"/>
  <c r="AE19" i="14"/>
  <c r="AF19" i="14"/>
  <c r="AB20" i="14"/>
  <c r="AC20" i="14"/>
  <c r="AD20" i="14"/>
  <c r="AE20" i="14"/>
  <c r="AF20" i="14"/>
  <c r="AB21" i="14"/>
  <c r="AC21" i="14"/>
  <c r="AD21" i="14"/>
  <c r="AE21" i="14"/>
  <c r="AF21" i="14"/>
  <c r="AB22" i="14"/>
  <c r="AC22" i="14"/>
  <c r="AD22" i="14"/>
  <c r="AE22" i="14"/>
  <c r="AF22" i="14"/>
  <c r="AB23" i="14"/>
  <c r="AC23" i="14"/>
  <c r="AD23" i="14"/>
  <c r="AE23" i="14"/>
  <c r="AF23" i="14"/>
  <c r="AB24" i="14"/>
  <c r="AC24" i="14"/>
  <c r="AD24" i="14"/>
  <c r="AE24" i="14"/>
  <c r="AF24" i="14"/>
  <c r="AB25" i="14"/>
  <c r="AC25" i="14"/>
  <c r="AD25" i="14"/>
  <c r="AE25" i="14"/>
  <c r="AF25" i="14"/>
  <c r="AB26" i="14"/>
  <c r="AC26" i="14"/>
  <c r="AD26" i="14"/>
  <c r="AE26" i="14"/>
  <c r="AF26" i="14"/>
  <c r="AB27" i="14"/>
  <c r="AC27" i="14"/>
  <c r="AD27" i="14"/>
  <c r="AE27" i="14"/>
  <c r="AF27" i="14"/>
  <c r="AB28" i="14"/>
  <c r="AC28" i="14"/>
  <c r="AD28" i="14"/>
  <c r="AE28" i="14"/>
  <c r="AF28" i="14"/>
  <c r="AB29" i="14"/>
  <c r="AC29" i="14"/>
  <c r="AD29" i="14"/>
  <c r="AE29" i="14"/>
  <c r="AF29" i="14"/>
  <c r="AA30" i="14"/>
  <c r="AB30" i="14"/>
  <c r="AC30" i="14"/>
  <c r="AD30" i="14"/>
  <c r="AE30" i="14"/>
  <c r="AF30" i="14"/>
  <c r="AA31" i="14"/>
  <c r="AB31" i="14"/>
  <c r="AC31" i="14"/>
  <c r="AD31" i="14"/>
  <c r="AE31" i="14"/>
  <c r="AF31" i="14"/>
  <c r="AB32" i="14"/>
  <c r="AC32" i="14"/>
  <c r="AD32" i="14"/>
  <c r="AE32" i="14"/>
  <c r="AF32" i="14"/>
  <c r="AB33" i="14"/>
  <c r="AC33" i="14"/>
  <c r="AD33" i="14"/>
  <c r="AE33" i="14"/>
  <c r="AF33" i="14"/>
  <c r="AB34" i="14"/>
  <c r="AC34" i="14"/>
  <c r="AD34" i="14"/>
  <c r="AE34" i="14"/>
  <c r="AF34" i="14"/>
  <c r="AB36" i="14"/>
  <c r="AC36" i="14"/>
  <c r="AD36" i="14"/>
  <c r="AE36" i="14"/>
  <c r="AF36" i="14"/>
  <c r="AB37" i="14"/>
  <c r="AC37" i="14"/>
  <c r="AD37" i="14"/>
  <c r="AE37" i="14"/>
  <c r="AF37" i="14"/>
  <c r="AB39" i="14"/>
  <c r="AC39" i="14"/>
  <c r="AD39" i="14"/>
  <c r="AE39" i="14"/>
  <c r="AF39" i="14"/>
  <c r="AB40" i="14"/>
  <c r="AC40" i="14"/>
  <c r="AD40" i="14"/>
  <c r="AE40" i="14"/>
  <c r="AF40" i="14"/>
  <c r="AB41" i="14"/>
  <c r="AC41" i="14"/>
  <c r="AD41" i="14"/>
  <c r="AE41" i="14"/>
  <c r="AF41" i="14"/>
  <c r="AB42" i="14"/>
  <c r="AC42" i="14"/>
  <c r="AD42" i="14"/>
  <c r="AE42" i="14"/>
  <c r="AF42" i="14"/>
  <c r="AB43" i="14"/>
  <c r="AC43" i="14"/>
  <c r="AD43" i="14"/>
  <c r="AE43" i="14"/>
  <c r="AF43" i="14"/>
  <c r="AA44" i="14"/>
  <c r="AB44" i="14"/>
  <c r="AC44" i="14"/>
  <c r="AD44" i="14"/>
  <c r="AE44" i="14"/>
  <c r="AF44" i="14"/>
  <c r="AA46" i="14"/>
  <c r="AB46" i="14"/>
  <c r="AC46" i="14"/>
  <c r="AD46" i="14"/>
  <c r="AE46" i="14"/>
  <c r="AF46" i="14"/>
  <c r="AB47" i="14"/>
  <c r="AC47" i="14"/>
  <c r="AD47" i="14"/>
  <c r="AE47" i="14"/>
  <c r="AF47" i="14"/>
  <c r="AB48" i="14"/>
  <c r="AC48" i="14"/>
  <c r="AD48" i="14"/>
  <c r="AE48" i="14"/>
  <c r="AF48" i="14"/>
  <c r="AB50" i="14"/>
  <c r="AC50" i="14"/>
  <c r="AD50" i="14"/>
  <c r="AE50" i="14"/>
  <c r="AF50" i="14"/>
  <c r="AB52" i="14"/>
  <c r="AC52" i="14"/>
  <c r="AD52" i="14"/>
  <c r="AE52" i="14"/>
  <c r="AF52" i="14"/>
  <c r="AA53" i="14"/>
  <c r="AB53" i="14"/>
  <c r="AC53" i="14"/>
  <c r="AD53" i="14"/>
  <c r="AE53" i="14"/>
  <c r="AF53" i="14"/>
  <c r="AB54" i="14"/>
  <c r="AC54" i="14"/>
  <c r="AD54" i="14"/>
  <c r="AE54" i="14"/>
  <c r="AF54" i="14"/>
  <c r="AA57" i="14"/>
  <c r="AB57" i="14"/>
  <c r="AC57" i="14"/>
  <c r="AD57" i="14"/>
  <c r="AE57" i="14"/>
  <c r="AF57" i="14"/>
  <c r="AA58" i="14"/>
  <c r="AB58" i="14"/>
  <c r="AC58" i="14"/>
  <c r="AD58" i="14"/>
  <c r="AE58" i="14"/>
  <c r="AF58" i="14"/>
  <c r="AB59" i="14"/>
  <c r="AC59" i="14"/>
  <c r="AD59" i="14"/>
  <c r="AE59" i="14"/>
  <c r="AF59" i="14"/>
  <c r="AB61" i="14"/>
  <c r="AC61" i="14"/>
  <c r="AD61" i="14"/>
  <c r="AE61" i="14"/>
  <c r="AF61" i="14"/>
  <c r="AB62" i="14"/>
  <c r="AC62" i="14"/>
  <c r="AD62" i="14"/>
  <c r="AE62" i="14"/>
  <c r="AF62" i="14"/>
  <c r="AB63" i="14"/>
  <c r="AC63" i="14"/>
  <c r="AD63" i="14"/>
  <c r="AE63" i="14"/>
  <c r="AF63" i="14"/>
  <c r="AA65" i="14"/>
  <c r="AB65" i="14"/>
  <c r="AC65" i="14"/>
  <c r="AD65" i="14"/>
  <c r="AE65" i="14"/>
  <c r="AF65" i="14"/>
  <c r="AB66" i="14"/>
  <c r="AC66" i="14"/>
  <c r="AD66" i="14"/>
  <c r="AE66" i="14"/>
  <c r="AF66" i="14"/>
  <c r="AB67" i="14"/>
  <c r="AC67" i="14"/>
  <c r="AD67" i="14"/>
  <c r="AE67" i="14"/>
  <c r="AF67" i="14"/>
  <c r="AA68" i="14"/>
  <c r="AB68" i="14"/>
  <c r="AC68" i="14"/>
  <c r="AD68" i="14"/>
  <c r="AE68" i="14"/>
  <c r="AF68" i="14"/>
  <c r="AA69" i="14"/>
  <c r="AB69" i="14"/>
  <c r="AC69" i="14"/>
  <c r="AD69" i="14"/>
  <c r="AE69" i="14"/>
  <c r="AF69" i="14"/>
  <c r="AA70" i="14"/>
  <c r="AB70" i="14"/>
  <c r="AC70" i="14"/>
  <c r="AD70" i="14"/>
  <c r="AE70" i="14"/>
  <c r="AF70" i="14"/>
  <c r="AB71" i="14"/>
  <c r="AC71" i="14"/>
  <c r="AD71" i="14"/>
  <c r="AE71" i="14"/>
  <c r="AF71" i="14"/>
  <c r="AB72" i="14"/>
  <c r="AC72" i="14"/>
  <c r="AD72" i="14"/>
  <c r="AE72" i="14"/>
  <c r="AF72" i="14"/>
  <c r="AB73" i="14"/>
  <c r="AC73" i="14"/>
  <c r="AD73" i="14"/>
  <c r="AE73" i="14"/>
  <c r="AF73" i="14"/>
  <c r="AB74" i="14"/>
  <c r="AC74" i="14"/>
  <c r="AD74" i="14"/>
  <c r="AE74" i="14"/>
  <c r="AF74" i="14"/>
  <c r="AA75" i="14"/>
  <c r="AB75" i="14"/>
  <c r="AC75" i="14"/>
  <c r="AD75" i="14"/>
  <c r="AE75" i="14"/>
  <c r="AF75" i="14"/>
  <c r="AA76" i="14"/>
  <c r="AB76" i="14"/>
  <c r="AC76" i="14"/>
  <c r="AD76" i="14"/>
  <c r="AE76" i="14"/>
  <c r="AF76" i="14"/>
  <c r="AB77" i="14"/>
  <c r="AC77" i="14"/>
  <c r="AD77" i="14"/>
  <c r="AE77" i="14"/>
  <c r="AF77" i="14"/>
  <c r="AB78" i="14"/>
  <c r="AC78" i="14"/>
  <c r="AD78" i="14"/>
  <c r="AE78" i="14"/>
  <c r="AF78" i="14"/>
  <c r="AB79" i="14"/>
  <c r="AC79" i="14"/>
  <c r="AD79" i="14"/>
  <c r="AE79" i="14"/>
  <c r="AF79" i="14"/>
  <c r="AA80" i="14"/>
  <c r="AB80" i="14"/>
  <c r="AC80" i="14"/>
  <c r="AD80" i="14"/>
  <c r="AE80" i="14"/>
  <c r="AF80" i="14"/>
  <c r="AA81" i="14"/>
  <c r="AB81" i="14"/>
  <c r="AC81" i="14"/>
  <c r="AD81" i="14"/>
  <c r="AE81" i="14"/>
  <c r="AF81" i="14"/>
  <c r="AB82" i="14"/>
  <c r="AC82" i="14"/>
  <c r="AD82" i="14"/>
  <c r="AE82" i="14"/>
  <c r="AF82" i="14"/>
  <c r="AA83" i="14"/>
  <c r="AB83" i="14"/>
  <c r="AC83" i="14"/>
  <c r="AD83" i="14"/>
  <c r="AE83" i="14"/>
  <c r="AF83" i="14"/>
  <c r="AB84" i="14"/>
  <c r="AC84" i="14"/>
  <c r="AD84" i="14"/>
  <c r="AE84" i="14"/>
  <c r="AF84" i="14"/>
  <c r="AB85" i="14"/>
  <c r="AC85" i="14"/>
  <c r="AD85" i="14"/>
  <c r="AE85" i="14"/>
  <c r="AF85" i="14"/>
  <c r="AB86" i="14"/>
  <c r="AC86" i="14"/>
  <c r="AD86" i="14"/>
  <c r="AE86" i="14"/>
  <c r="AF86" i="14"/>
  <c r="AB87" i="14"/>
  <c r="AC87" i="14"/>
  <c r="AD87" i="14"/>
  <c r="AE87" i="14"/>
  <c r="AF87" i="14"/>
  <c r="AB88" i="14"/>
  <c r="AC88" i="14"/>
  <c r="AD88" i="14"/>
  <c r="AE88" i="14"/>
  <c r="AF88" i="14"/>
  <c r="AA89" i="14"/>
  <c r="AB89" i="14"/>
  <c r="AC89" i="14"/>
  <c r="AD89" i="14"/>
  <c r="AE89" i="14"/>
  <c r="AF89" i="14"/>
  <c r="AA90" i="14"/>
  <c r="AB90" i="14"/>
  <c r="AC90" i="14"/>
  <c r="AD90" i="14"/>
  <c r="AE90" i="14"/>
  <c r="AF90" i="14"/>
  <c r="AB91" i="14"/>
  <c r="AC91" i="14"/>
  <c r="AD91" i="14"/>
  <c r="AE91" i="14"/>
  <c r="AF91" i="14"/>
  <c r="AB92" i="14"/>
  <c r="AC92" i="14"/>
  <c r="AD92" i="14"/>
  <c r="AE92" i="14"/>
  <c r="AF92" i="14"/>
  <c r="AB93" i="14"/>
  <c r="AC93" i="14"/>
  <c r="AD93" i="14"/>
  <c r="AE93" i="14"/>
  <c r="AF93" i="14"/>
  <c r="AB2" i="14"/>
  <c r="AC2" i="14"/>
  <c r="AD2" i="14"/>
  <c r="AE2" i="14"/>
  <c r="AF2" i="14"/>
  <c r="E50" i="14"/>
  <c r="F50" i="14"/>
  <c r="G50" i="14"/>
  <c r="H50" i="14"/>
  <c r="I50" i="14"/>
  <c r="A228" i="14"/>
  <c r="B228" i="14"/>
  <c r="Z88" i="14"/>
  <c r="C228" i="14"/>
  <c r="E228" i="14"/>
  <c r="F228" i="14"/>
  <c r="G228" i="14"/>
  <c r="H228" i="14"/>
  <c r="I228" i="14"/>
  <c r="A391" i="14"/>
  <c r="A392" i="14"/>
  <c r="A410" i="14"/>
  <c r="A411" i="14"/>
  <c r="A412" i="14"/>
  <c r="B392" i="14"/>
  <c r="C392" i="14"/>
  <c r="E392" i="14"/>
  <c r="F392" i="14"/>
  <c r="G392" i="14"/>
  <c r="H392" i="14"/>
  <c r="I392" i="14"/>
  <c r="B411" i="14"/>
  <c r="C411" i="14"/>
  <c r="E411" i="14"/>
  <c r="F411" i="14"/>
  <c r="G411" i="14"/>
  <c r="H411" i="14"/>
  <c r="I411" i="14"/>
  <c r="B412" i="14"/>
  <c r="C412" i="14"/>
  <c r="E412" i="14"/>
  <c r="F412" i="14"/>
  <c r="G412" i="14"/>
  <c r="H412" i="14"/>
  <c r="I412" i="14"/>
  <c r="D29" i="8"/>
  <c r="E29" i="8"/>
  <c r="D30" i="8"/>
  <c r="E30" i="8"/>
  <c r="G4" i="8"/>
  <c r="G5" i="8"/>
  <c r="G6" i="8"/>
  <c r="G7" i="8"/>
  <c r="G8" i="8"/>
  <c r="G9" i="8"/>
  <c r="G10" i="8"/>
  <c r="G11" i="8"/>
  <c r="G12" i="8"/>
  <c r="G13" i="8"/>
  <c r="G14" i="8"/>
  <c r="G15" i="8"/>
  <c r="G16" i="8"/>
  <c r="G17" i="8"/>
  <c r="G18" i="8"/>
  <c r="G19" i="8"/>
  <c r="G20" i="8"/>
  <c r="G21" i="8"/>
  <c r="G22" i="8"/>
  <c r="G23" i="8"/>
  <c r="G24" i="8"/>
  <c r="G25" i="8"/>
  <c r="G26" i="8"/>
  <c r="G27" i="8"/>
  <c r="G29" i="8"/>
  <c r="G30" i="8"/>
  <c r="G35" i="8"/>
  <c r="H4" i="8"/>
  <c r="H5" i="8"/>
  <c r="H6" i="8"/>
  <c r="H7" i="8"/>
  <c r="H8" i="8"/>
  <c r="H9" i="8"/>
  <c r="H10" i="8"/>
  <c r="H11" i="8"/>
  <c r="H12" i="8"/>
  <c r="H13" i="8"/>
  <c r="H14" i="8"/>
  <c r="H15" i="8"/>
  <c r="H16" i="8"/>
  <c r="H17" i="8"/>
  <c r="H18" i="8"/>
  <c r="H19" i="8"/>
  <c r="H20" i="8"/>
  <c r="H21" i="8"/>
  <c r="H22" i="8"/>
  <c r="H23" i="8"/>
  <c r="H24" i="8"/>
  <c r="H25" i="8"/>
  <c r="H26" i="8"/>
  <c r="H27" i="8"/>
  <c r="H29" i="8"/>
  <c r="H30" i="8"/>
  <c r="H35" i="8"/>
  <c r="I4" i="8"/>
  <c r="I5" i="8"/>
  <c r="I6" i="8"/>
  <c r="I7" i="8"/>
  <c r="I8" i="8"/>
  <c r="I9" i="8"/>
  <c r="I10" i="8"/>
  <c r="I11" i="8"/>
  <c r="I12" i="8"/>
  <c r="I13" i="8"/>
  <c r="I14" i="8"/>
  <c r="I15" i="8"/>
  <c r="I16" i="8"/>
  <c r="I17" i="8"/>
  <c r="I18" i="8"/>
  <c r="I19" i="8"/>
  <c r="I20" i="8"/>
  <c r="I21" i="8"/>
  <c r="I22" i="8"/>
  <c r="I23" i="8"/>
  <c r="I24" i="8"/>
  <c r="I25" i="8"/>
  <c r="I26" i="8"/>
  <c r="I27" i="8"/>
  <c r="I29" i="8"/>
  <c r="I30" i="8"/>
  <c r="I35" i="8"/>
  <c r="J4" i="8"/>
  <c r="J5" i="8"/>
  <c r="J6" i="8"/>
  <c r="J7" i="8"/>
  <c r="J8" i="8"/>
  <c r="J9" i="8"/>
  <c r="J10" i="8"/>
  <c r="J11" i="8"/>
  <c r="J12" i="8"/>
  <c r="J13" i="8"/>
  <c r="J14" i="8"/>
  <c r="J15" i="8"/>
  <c r="J16" i="8"/>
  <c r="J17" i="8"/>
  <c r="J18" i="8"/>
  <c r="J19" i="8"/>
  <c r="J20" i="8"/>
  <c r="J21" i="8"/>
  <c r="J22" i="8"/>
  <c r="J23" i="8"/>
  <c r="J24" i="8"/>
  <c r="J25" i="8"/>
  <c r="J26" i="8"/>
  <c r="J27" i="8"/>
  <c r="J29" i="8"/>
  <c r="J30" i="8"/>
  <c r="J35" i="8"/>
  <c r="K4" i="8"/>
  <c r="K5" i="8"/>
  <c r="K6" i="8"/>
  <c r="K7" i="8"/>
  <c r="K8" i="8"/>
  <c r="K9" i="8"/>
  <c r="K10" i="8"/>
  <c r="K11" i="8"/>
  <c r="K12" i="8"/>
  <c r="K13" i="8"/>
  <c r="K14" i="8"/>
  <c r="K15" i="8"/>
  <c r="K16" i="8"/>
  <c r="K17" i="8"/>
  <c r="K18" i="8"/>
  <c r="K19" i="8"/>
  <c r="K20" i="8"/>
  <c r="K21" i="8"/>
  <c r="K22" i="8"/>
  <c r="K23" i="8"/>
  <c r="K24" i="8"/>
  <c r="K25" i="8"/>
  <c r="K26" i="8"/>
  <c r="K27" i="8"/>
  <c r="K29" i="8"/>
  <c r="K30" i="8"/>
  <c r="K35" i="8"/>
  <c r="F4" i="8"/>
  <c r="F5" i="8"/>
  <c r="F6" i="8"/>
  <c r="F7" i="8"/>
  <c r="F8" i="8"/>
  <c r="F9" i="8"/>
  <c r="F10" i="8"/>
  <c r="F11" i="8"/>
  <c r="F12" i="8"/>
  <c r="F13" i="8"/>
  <c r="F14" i="8"/>
  <c r="F15" i="8"/>
  <c r="F16" i="8"/>
  <c r="F17" i="8"/>
  <c r="F18" i="8"/>
  <c r="F19" i="8"/>
  <c r="F20" i="8"/>
  <c r="F21" i="8"/>
  <c r="F22" i="8"/>
  <c r="F23" i="8"/>
  <c r="F24" i="8"/>
  <c r="F25" i="8"/>
  <c r="F26" i="8"/>
  <c r="F27" i="8"/>
  <c r="F29" i="8"/>
  <c r="F30" i="8"/>
  <c r="F35" i="8"/>
  <c r="C29" i="8"/>
  <c r="C30" i="8"/>
  <c r="B29" i="8"/>
  <c r="B30" i="8"/>
  <c r="Z54" i="14"/>
  <c r="C64" i="14"/>
  <c r="E64" i="14"/>
  <c r="F64" i="14"/>
  <c r="G64" i="14"/>
  <c r="H64" i="14"/>
  <c r="I64" i="14"/>
  <c r="Z31" i="14"/>
  <c r="Y31" i="14"/>
  <c r="DL61" i="5"/>
  <c r="DL112" i="5"/>
  <c r="DL111" i="5"/>
  <c r="DL110" i="5"/>
  <c r="DL109" i="5"/>
  <c r="DL108" i="5"/>
  <c r="DL107" i="5"/>
  <c r="DL106" i="5"/>
  <c r="DL105" i="5"/>
  <c r="DL104" i="5"/>
  <c r="DL103" i="5"/>
  <c r="DL102" i="5"/>
  <c r="DL101" i="5"/>
  <c r="DL100" i="5"/>
  <c r="DL99" i="5"/>
  <c r="DL98" i="5"/>
  <c r="DL97" i="5"/>
  <c r="DL96" i="5"/>
  <c r="DL95" i="5"/>
  <c r="DL94" i="5"/>
  <c r="DL93" i="5"/>
  <c r="DL92" i="5"/>
  <c r="DL91" i="5"/>
  <c r="DL90" i="5"/>
  <c r="DL89" i="5"/>
  <c r="DL88" i="5"/>
  <c r="DL86" i="5"/>
  <c r="DL85" i="5"/>
  <c r="DL84" i="5"/>
  <c r="DL83" i="5"/>
  <c r="DL82" i="5"/>
  <c r="DL81" i="5"/>
  <c r="DL80" i="5"/>
  <c r="DL79" i="5"/>
  <c r="DL78" i="5"/>
  <c r="DL77" i="5"/>
  <c r="DL76" i="5"/>
  <c r="DL75" i="5"/>
  <c r="DL73" i="5"/>
  <c r="DL72" i="5"/>
  <c r="DL71" i="5"/>
  <c r="DL70" i="5"/>
  <c r="DL69" i="5"/>
  <c r="DL68" i="5"/>
  <c r="DL67" i="5"/>
  <c r="DL66" i="5"/>
  <c r="DL65" i="5"/>
  <c r="DL64" i="5"/>
  <c r="DL63" i="5"/>
  <c r="DL62" i="5"/>
  <c r="DL60" i="5"/>
  <c r="DL59" i="5"/>
  <c r="DL58" i="5"/>
  <c r="DL57" i="5"/>
  <c r="DL56" i="5"/>
  <c r="DL55" i="5"/>
  <c r="DL54" i="5"/>
  <c r="DL53" i="5"/>
  <c r="DL52" i="5"/>
  <c r="DL51" i="5"/>
  <c r="DL50" i="5"/>
  <c r="DL49" i="5"/>
  <c r="DL48" i="5"/>
  <c r="DL47" i="5"/>
  <c r="DL46" i="5"/>
  <c r="DL45" i="5"/>
  <c r="DL44" i="5"/>
  <c r="DL43" i="5"/>
  <c r="DL42" i="5"/>
  <c r="DL41" i="5"/>
  <c r="DL40" i="5"/>
  <c r="DL39" i="5"/>
  <c r="DL37" i="5"/>
  <c r="DL36" i="5"/>
  <c r="DL35" i="5"/>
  <c r="DL34" i="5"/>
  <c r="DL33" i="5"/>
  <c r="DL32" i="5"/>
  <c r="DL30" i="5"/>
  <c r="DL29" i="5"/>
  <c r="DL28" i="5"/>
  <c r="DL27" i="5"/>
  <c r="DL26" i="5"/>
  <c r="DL25" i="5"/>
  <c r="DL24" i="5"/>
  <c r="DL23" i="5"/>
  <c r="DL22" i="5"/>
  <c r="DL21" i="5"/>
  <c r="DL20" i="5"/>
  <c r="DL19" i="5"/>
  <c r="DL18" i="5"/>
  <c r="DL17" i="5"/>
  <c r="DL16" i="5"/>
  <c r="DL14" i="5"/>
  <c r="DL13" i="5"/>
  <c r="DL12" i="5"/>
  <c r="DL11" i="5"/>
  <c r="DL10" i="5"/>
  <c r="DL9" i="5"/>
  <c r="DL8" i="5"/>
  <c r="DL7" i="5"/>
  <c r="DL6" i="5"/>
  <c r="DL5" i="5"/>
  <c r="AC85" i="5"/>
  <c r="AC84" i="5"/>
  <c r="AC83" i="5"/>
  <c r="BX83" i="5"/>
  <c r="BX84" i="5"/>
  <c r="BX85" i="5"/>
  <c r="Z93" i="14"/>
  <c r="Z92" i="14"/>
  <c r="Z91" i="14"/>
  <c r="Z90" i="14"/>
  <c r="Z89" i="14"/>
  <c r="Z87" i="14"/>
  <c r="Z86" i="14"/>
  <c r="Z85" i="14"/>
  <c r="Z84" i="14"/>
  <c r="Z83" i="14"/>
  <c r="Z82" i="14"/>
  <c r="Z81" i="14"/>
  <c r="Z80" i="14"/>
  <c r="Z79" i="14"/>
  <c r="Z78" i="14"/>
  <c r="Z77" i="14"/>
  <c r="Z76" i="14"/>
  <c r="Z75" i="14"/>
  <c r="Z74" i="14"/>
  <c r="Z73" i="14"/>
  <c r="Z72" i="14"/>
  <c r="Z71" i="14"/>
  <c r="Z70" i="14"/>
  <c r="Z69" i="14"/>
  <c r="Z68" i="14"/>
  <c r="Z67" i="14"/>
  <c r="Z66" i="14"/>
  <c r="Z65" i="14"/>
  <c r="Z63" i="14"/>
  <c r="Z62" i="14"/>
  <c r="Z61" i="14"/>
  <c r="Z59" i="14"/>
  <c r="Z58" i="14"/>
  <c r="Z57" i="14"/>
  <c r="Z53" i="14"/>
  <c r="Z52" i="14"/>
  <c r="Z50" i="14"/>
  <c r="Z48" i="14"/>
  <c r="Z47" i="14"/>
  <c r="Z46" i="14"/>
  <c r="Z44" i="14"/>
  <c r="Z43" i="14"/>
  <c r="Z42" i="14"/>
  <c r="Z41" i="14"/>
  <c r="Z40" i="14"/>
  <c r="Z39" i="14"/>
  <c r="Z37" i="14"/>
  <c r="Z36" i="14"/>
  <c r="Z34" i="14"/>
  <c r="Z33" i="14"/>
  <c r="Z32" i="14"/>
  <c r="Z30" i="14"/>
  <c r="Z28" i="14"/>
  <c r="Z27" i="14"/>
  <c r="Z26" i="14"/>
  <c r="Z25" i="14"/>
  <c r="Z24" i="14"/>
  <c r="Z23" i="14"/>
  <c r="Z22" i="14"/>
  <c r="Z21" i="14"/>
  <c r="Z20" i="14"/>
  <c r="Z19" i="14"/>
  <c r="Z18" i="14"/>
  <c r="Z17" i="14"/>
  <c r="Z16" i="14"/>
  <c r="Z15" i="14"/>
  <c r="Z14" i="14"/>
  <c r="Z13" i="14"/>
  <c r="Z12" i="14"/>
  <c r="Z11" i="14"/>
  <c r="Z10" i="14"/>
  <c r="Z9" i="14"/>
  <c r="Z8" i="14"/>
  <c r="Z7" i="14"/>
  <c r="Z6" i="14"/>
  <c r="Z5" i="14"/>
  <c r="Z4" i="14"/>
  <c r="Z3" i="14"/>
  <c r="Z2" i="14"/>
  <c r="Z29" i="14"/>
  <c r="AC90" i="5"/>
  <c r="AC112" i="5"/>
  <c r="AA112" i="5"/>
  <c r="AA99" i="5"/>
  <c r="AC99" i="5"/>
  <c r="AC97" i="5"/>
  <c r="AC96" i="5"/>
  <c r="AA95" i="5"/>
  <c r="AC95" i="5"/>
  <c r="AA94" i="5"/>
  <c r="AC94" i="5"/>
  <c r="AC93" i="5"/>
  <c r="AC92" i="5"/>
  <c r="AC91" i="5"/>
  <c r="AC89" i="5"/>
  <c r="AC88" i="5"/>
  <c r="AC86" i="5"/>
  <c r="AC82" i="5"/>
  <c r="AB81" i="5"/>
  <c r="AC81" i="5"/>
  <c r="AC80" i="5"/>
  <c r="AC79" i="5"/>
  <c r="AC78" i="5"/>
  <c r="AC77" i="5"/>
  <c r="AC76" i="5"/>
  <c r="AC75" i="5"/>
  <c r="AB73" i="5"/>
  <c r="AC73" i="5"/>
  <c r="AC72" i="5"/>
  <c r="AA71" i="5"/>
  <c r="AC71" i="5"/>
  <c r="AC70" i="5"/>
  <c r="AC69" i="5"/>
  <c r="AB68" i="5"/>
  <c r="AC68" i="5"/>
  <c r="AC67" i="5"/>
  <c r="AC66" i="5"/>
  <c r="AC65" i="5"/>
  <c r="AC64" i="5"/>
  <c r="AA63" i="5"/>
  <c r="AC63" i="5"/>
  <c r="AC62" i="5"/>
  <c r="AA61" i="5"/>
  <c r="AC61" i="5"/>
  <c r="AC60" i="5"/>
  <c r="AC59" i="5"/>
  <c r="AC58" i="5"/>
  <c r="AC57" i="5"/>
  <c r="AA56" i="5"/>
  <c r="AC56" i="5"/>
  <c r="AC55" i="5"/>
  <c r="AC54" i="5"/>
  <c r="AC53" i="5"/>
  <c r="AC52" i="5"/>
  <c r="AC51" i="5"/>
  <c r="AC50" i="5"/>
  <c r="AC49" i="5"/>
  <c r="AC48" i="5"/>
  <c r="AC47" i="5"/>
  <c r="AB46" i="5"/>
  <c r="AC46" i="5"/>
  <c r="AC45" i="5"/>
  <c r="AC44" i="5"/>
  <c r="AC43" i="5"/>
  <c r="AB42" i="5"/>
  <c r="AC42" i="5"/>
  <c r="AC41" i="5"/>
  <c r="AC40" i="5"/>
  <c r="AC39" i="5"/>
  <c r="AC37" i="5"/>
  <c r="AC36" i="5"/>
  <c r="AC35" i="5"/>
  <c r="AC34" i="5"/>
  <c r="AC33" i="5"/>
  <c r="AC32" i="5"/>
  <c r="AC30" i="5"/>
  <c r="AC29" i="5"/>
  <c r="AC28" i="5"/>
  <c r="AC27" i="5"/>
  <c r="AC26" i="5"/>
  <c r="AA25" i="5"/>
  <c r="AC25" i="5"/>
  <c r="AC24" i="5"/>
  <c r="AC23" i="5"/>
  <c r="AC22" i="5"/>
  <c r="AC21" i="5"/>
  <c r="AC20" i="5"/>
  <c r="AC19" i="5"/>
  <c r="AC18" i="5"/>
  <c r="AC17" i="5"/>
  <c r="AA16" i="5"/>
  <c r="AC16" i="5"/>
  <c r="AC14" i="5"/>
  <c r="AC13" i="5"/>
  <c r="AC12" i="5"/>
  <c r="AC11" i="5"/>
  <c r="AC10" i="5"/>
  <c r="AC9" i="5"/>
  <c r="AC8" i="5"/>
  <c r="AC7" i="5"/>
  <c r="AC6" i="5"/>
  <c r="AC5" i="5"/>
  <c r="D5" i="8"/>
  <c r="E5" i="8"/>
  <c r="D6" i="8"/>
  <c r="E6" i="8"/>
  <c r="D7" i="8"/>
  <c r="E7" i="8"/>
  <c r="D8" i="8"/>
  <c r="E8" i="8"/>
  <c r="D9" i="8"/>
  <c r="E9" i="8"/>
  <c r="D10" i="8"/>
  <c r="E10" i="8"/>
  <c r="D11" i="8"/>
  <c r="E11" i="8"/>
  <c r="D12" i="8"/>
  <c r="E12" i="8"/>
  <c r="D13" i="8"/>
  <c r="E13" i="8"/>
  <c r="D14" i="8"/>
  <c r="E14" i="8"/>
  <c r="D15" i="8"/>
  <c r="E15" i="8"/>
  <c r="D16" i="8"/>
  <c r="E16" i="8"/>
  <c r="D17" i="8"/>
  <c r="E17" i="8"/>
  <c r="D18" i="8"/>
  <c r="E18" i="8"/>
  <c r="D19" i="8"/>
  <c r="E19" i="8"/>
  <c r="D20" i="8"/>
  <c r="E20" i="8"/>
  <c r="D21" i="8"/>
  <c r="E21" i="8"/>
  <c r="D22" i="8"/>
  <c r="E22" i="8"/>
  <c r="D23" i="8"/>
  <c r="E23" i="8"/>
  <c r="D24" i="8"/>
  <c r="E24" i="8"/>
  <c r="D25" i="8"/>
  <c r="E25" i="8"/>
  <c r="D26" i="8"/>
  <c r="E26" i="8"/>
  <c r="D27" i="8"/>
  <c r="E27" i="8"/>
  <c r="D4" i="8"/>
  <c r="E4" i="8"/>
  <c r="C4" i="8"/>
  <c r="C5" i="8"/>
  <c r="C6" i="8"/>
  <c r="C7" i="8"/>
  <c r="C8" i="8"/>
  <c r="C9" i="8"/>
  <c r="C10" i="8"/>
  <c r="C11" i="8"/>
  <c r="C12" i="8"/>
  <c r="C13" i="8"/>
  <c r="C14" i="8"/>
  <c r="C15" i="8"/>
  <c r="C16" i="8"/>
  <c r="C17" i="8"/>
  <c r="C18" i="8"/>
  <c r="C19" i="8"/>
  <c r="C20" i="8"/>
  <c r="C21" i="8"/>
  <c r="C22" i="8"/>
  <c r="C23" i="8"/>
  <c r="C24" i="8"/>
  <c r="C25" i="8"/>
  <c r="C26" i="8"/>
  <c r="C27" i="8"/>
  <c r="B9" i="7"/>
  <c r="C9" i="7"/>
  <c r="D9" i="7"/>
  <c r="E9" i="7"/>
  <c r="F9" i="7"/>
  <c r="G9" i="7"/>
  <c r="H9" i="7"/>
  <c r="H409" i="14"/>
  <c r="J9" i="7"/>
  <c r="E4" i="7"/>
  <c r="E5" i="7"/>
  <c r="E6" i="7"/>
  <c r="E7" i="7"/>
  <c r="E8" i="7"/>
  <c r="E10" i="7"/>
  <c r="E11" i="7"/>
  <c r="E12" i="7"/>
  <c r="E13" i="7"/>
  <c r="E14" i="7"/>
  <c r="E15" i="7"/>
  <c r="E16" i="7"/>
  <c r="E17" i="7"/>
  <c r="E18" i="7"/>
  <c r="E19" i="7"/>
  <c r="E20" i="7"/>
  <c r="E21" i="7"/>
  <c r="E22" i="7"/>
  <c r="E23" i="7"/>
  <c r="E24" i="7"/>
  <c r="E25" i="7"/>
  <c r="E26" i="7"/>
  <c r="E27" i="7"/>
  <c r="E28" i="7"/>
  <c r="E29" i="7"/>
  <c r="E30" i="7"/>
  <c r="E31" i="7"/>
  <c r="E36" i="7"/>
  <c r="F5" i="7"/>
  <c r="G5" i="7"/>
  <c r="H5" i="7"/>
  <c r="I5" i="7"/>
  <c r="J5" i="7"/>
  <c r="F6" i="7"/>
  <c r="G6" i="7"/>
  <c r="H6" i="7"/>
  <c r="I6" i="7"/>
  <c r="J6" i="7"/>
  <c r="F7" i="7"/>
  <c r="G7" i="7"/>
  <c r="H7" i="7"/>
  <c r="I7" i="7"/>
  <c r="J7" i="7"/>
  <c r="F8" i="7"/>
  <c r="G8" i="7"/>
  <c r="H8" i="7"/>
  <c r="I8" i="7"/>
  <c r="J8" i="7"/>
  <c r="F10" i="7"/>
  <c r="G10" i="7"/>
  <c r="H10" i="7"/>
  <c r="I10" i="7"/>
  <c r="J10" i="7"/>
  <c r="F11" i="7"/>
  <c r="G11" i="7"/>
  <c r="H11" i="7"/>
  <c r="I11" i="7"/>
  <c r="J11" i="7"/>
  <c r="F12" i="7"/>
  <c r="G12" i="7"/>
  <c r="H12" i="7"/>
  <c r="I12" i="7"/>
  <c r="J12" i="7"/>
  <c r="F13" i="7"/>
  <c r="G13" i="7"/>
  <c r="H13" i="7"/>
  <c r="I13" i="7"/>
  <c r="J13" i="7"/>
  <c r="F14" i="7"/>
  <c r="G14" i="7"/>
  <c r="H14" i="7"/>
  <c r="I14" i="7"/>
  <c r="J14" i="7"/>
  <c r="F15" i="7"/>
  <c r="G15" i="7"/>
  <c r="H15" i="7"/>
  <c r="I15" i="7"/>
  <c r="J15" i="7"/>
  <c r="F16" i="7"/>
  <c r="G16" i="7"/>
  <c r="H16" i="7"/>
  <c r="I16" i="7"/>
  <c r="J16" i="7"/>
  <c r="F17" i="7"/>
  <c r="G17" i="7"/>
  <c r="H17" i="7"/>
  <c r="I17" i="7"/>
  <c r="J17" i="7"/>
  <c r="F18" i="7"/>
  <c r="G18" i="7"/>
  <c r="H18" i="7"/>
  <c r="I18" i="7"/>
  <c r="J18" i="7"/>
  <c r="F19" i="7"/>
  <c r="G19" i="7"/>
  <c r="H19" i="7"/>
  <c r="I19" i="7"/>
  <c r="J19" i="7"/>
  <c r="F20" i="7"/>
  <c r="G20" i="7"/>
  <c r="H20" i="7"/>
  <c r="I20" i="7"/>
  <c r="J20" i="7"/>
  <c r="F21" i="7"/>
  <c r="G21" i="7"/>
  <c r="H21" i="7"/>
  <c r="I21" i="7"/>
  <c r="J21" i="7"/>
  <c r="J4" i="7"/>
  <c r="J22" i="7"/>
  <c r="J23" i="7"/>
  <c r="J24" i="7"/>
  <c r="J25" i="7"/>
  <c r="J26" i="7"/>
  <c r="J27" i="7"/>
  <c r="J28" i="7"/>
  <c r="J29" i="7"/>
  <c r="J30" i="7"/>
  <c r="J31" i="7"/>
  <c r="J36" i="7"/>
  <c r="F22" i="7"/>
  <c r="G22" i="7"/>
  <c r="H22" i="7"/>
  <c r="I22" i="7"/>
  <c r="F23" i="7"/>
  <c r="G23" i="7"/>
  <c r="H23" i="7"/>
  <c r="I23" i="7"/>
  <c r="F24" i="7"/>
  <c r="G24" i="7"/>
  <c r="H24" i="7"/>
  <c r="I24" i="7"/>
  <c r="F25" i="7"/>
  <c r="G25" i="7"/>
  <c r="H25" i="7"/>
  <c r="I25" i="7"/>
  <c r="F26" i="7"/>
  <c r="G26" i="7"/>
  <c r="H26" i="7"/>
  <c r="I26" i="7"/>
  <c r="F27" i="7"/>
  <c r="G27" i="7"/>
  <c r="H27" i="7"/>
  <c r="I27" i="7"/>
  <c r="F28" i="7"/>
  <c r="G28" i="7"/>
  <c r="H28" i="7"/>
  <c r="I28" i="7"/>
  <c r="F29" i="7"/>
  <c r="G29" i="7"/>
  <c r="H29" i="7"/>
  <c r="I29" i="7"/>
  <c r="F30" i="7"/>
  <c r="G30" i="7"/>
  <c r="H30" i="7"/>
  <c r="I30" i="7"/>
  <c r="F31" i="7"/>
  <c r="G31" i="7"/>
  <c r="H31" i="7"/>
  <c r="I31" i="7"/>
  <c r="F4" i="7"/>
  <c r="G4" i="7"/>
  <c r="H4" i="7"/>
  <c r="I4" i="7"/>
  <c r="I9" i="7"/>
  <c r="I36" i="7"/>
  <c r="B5" i="7"/>
  <c r="C5" i="7"/>
  <c r="D5" i="7"/>
  <c r="B6" i="7"/>
  <c r="C6" i="7"/>
  <c r="D6" i="7"/>
  <c r="B7" i="7"/>
  <c r="C7" i="7"/>
  <c r="D7" i="7"/>
  <c r="B8" i="7"/>
  <c r="C8" i="7"/>
  <c r="D8" i="7"/>
  <c r="B10" i="7"/>
  <c r="C10" i="7"/>
  <c r="D10" i="7"/>
  <c r="B11" i="7"/>
  <c r="C11" i="7"/>
  <c r="D11" i="7"/>
  <c r="B12" i="7"/>
  <c r="C12" i="7"/>
  <c r="D12" i="7"/>
  <c r="B13" i="7"/>
  <c r="C13" i="7"/>
  <c r="D13" i="7"/>
  <c r="B14" i="7"/>
  <c r="C14" i="7"/>
  <c r="D14" i="7"/>
  <c r="B15" i="7"/>
  <c r="C15" i="7"/>
  <c r="D15" i="7"/>
  <c r="B16" i="7"/>
  <c r="C16" i="7"/>
  <c r="D16" i="7"/>
  <c r="B17" i="7"/>
  <c r="C17" i="7"/>
  <c r="D17" i="7"/>
  <c r="B18" i="7"/>
  <c r="C18" i="7"/>
  <c r="D18" i="7"/>
  <c r="B19" i="7"/>
  <c r="C19" i="7"/>
  <c r="D19" i="7"/>
  <c r="B20" i="7"/>
  <c r="C20" i="7"/>
  <c r="D20" i="7"/>
  <c r="B21" i="7"/>
  <c r="C21" i="7"/>
  <c r="D21" i="7"/>
  <c r="B22" i="7"/>
  <c r="C22" i="7"/>
  <c r="D22" i="7"/>
  <c r="B23" i="7"/>
  <c r="C23" i="7"/>
  <c r="D23" i="7"/>
  <c r="B24" i="7"/>
  <c r="C24" i="7"/>
  <c r="D24" i="7"/>
  <c r="B25" i="7"/>
  <c r="C25" i="7"/>
  <c r="D25" i="7"/>
  <c r="B26" i="7"/>
  <c r="C26" i="7"/>
  <c r="D26" i="7"/>
  <c r="B27" i="7"/>
  <c r="C27" i="7"/>
  <c r="D27" i="7"/>
  <c r="B28" i="7"/>
  <c r="C28" i="7"/>
  <c r="D28" i="7"/>
  <c r="B29" i="7"/>
  <c r="C29" i="7"/>
  <c r="D29" i="7"/>
  <c r="B30" i="7"/>
  <c r="C30" i="7"/>
  <c r="D30" i="7"/>
  <c r="B31" i="7"/>
  <c r="C31" i="7"/>
  <c r="D31" i="7"/>
  <c r="C4" i="7"/>
  <c r="D4" i="7"/>
  <c r="B4" i="7"/>
  <c r="I404" i="14"/>
  <c r="I405" i="14"/>
  <c r="I406" i="14"/>
  <c r="I407" i="14"/>
  <c r="I408" i="14"/>
  <c r="I409" i="14"/>
  <c r="I410" i="14"/>
  <c r="I413" i="14"/>
  <c r="I414" i="14"/>
  <c r="I415" i="14"/>
  <c r="I416" i="14"/>
  <c r="I417" i="14"/>
  <c r="I418" i="14"/>
  <c r="I419" i="14"/>
  <c r="I420" i="14"/>
  <c r="I421" i="14"/>
  <c r="I391" i="14"/>
  <c r="H404" i="14"/>
  <c r="H405" i="14"/>
  <c r="H406" i="14"/>
  <c r="H407" i="14"/>
  <c r="H408" i="14"/>
  <c r="H410" i="14"/>
  <c r="H413" i="14"/>
  <c r="H414" i="14"/>
  <c r="H415" i="14"/>
  <c r="H416" i="14"/>
  <c r="H417" i="14"/>
  <c r="H418" i="14"/>
  <c r="H419" i="14"/>
  <c r="H420" i="14"/>
  <c r="H421" i="14"/>
  <c r="G404" i="14"/>
  <c r="G405" i="14"/>
  <c r="G406" i="14"/>
  <c r="G407" i="14"/>
  <c r="G408" i="14"/>
  <c r="G409" i="14"/>
  <c r="G410" i="14"/>
  <c r="G413" i="14"/>
  <c r="G414" i="14"/>
  <c r="G415" i="14"/>
  <c r="G416" i="14"/>
  <c r="G417" i="14"/>
  <c r="G418" i="14"/>
  <c r="G419" i="14"/>
  <c r="G420" i="14"/>
  <c r="G421" i="14"/>
  <c r="F404" i="14"/>
  <c r="F405" i="14"/>
  <c r="F406" i="14"/>
  <c r="F375" i="14"/>
  <c r="F408" i="14"/>
  <c r="F409" i="14"/>
  <c r="F410" i="14"/>
  <c r="F413" i="14"/>
  <c r="F414" i="14"/>
  <c r="F415" i="14"/>
  <c r="F416" i="14"/>
  <c r="F417" i="14"/>
  <c r="F418" i="14"/>
  <c r="F419" i="14"/>
  <c r="F420" i="14"/>
  <c r="E404" i="14"/>
  <c r="E405" i="14"/>
  <c r="E389" i="14"/>
  <c r="E407" i="14"/>
  <c r="E408" i="14"/>
  <c r="E409" i="14"/>
  <c r="E410" i="14"/>
  <c r="E413" i="14"/>
  <c r="E414" i="14"/>
  <c r="E415" i="14"/>
  <c r="E416" i="14"/>
  <c r="E417" i="14"/>
  <c r="E418" i="14"/>
  <c r="E419" i="14"/>
  <c r="E420" i="14"/>
  <c r="C420" i="14"/>
  <c r="B420" i="14"/>
  <c r="C419" i="14"/>
  <c r="B419" i="14"/>
  <c r="C418" i="14"/>
  <c r="B418" i="14"/>
  <c r="C417" i="14"/>
  <c r="B417" i="14"/>
  <c r="C416" i="14"/>
  <c r="B416" i="14"/>
  <c r="C415" i="14"/>
  <c r="B415" i="14"/>
  <c r="C414" i="14"/>
  <c r="B414" i="14"/>
  <c r="C413" i="14"/>
  <c r="B413" i="14"/>
  <c r="C410" i="14"/>
  <c r="B410" i="14"/>
  <c r="C409" i="14"/>
  <c r="B409" i="14"/>
  <c r="C408" i="14"/>
  <c r="B408" i="14"/>
  <c r="C407" i="14"/>
  <c r="B407" i="14"/>
  <c r="C406" i="14"/>
  <c r="B406" i="14"/>
  <c r="C405" i="14"/>
  <c r="B405" i="14"/>
  <c r="C404" i="14"/>
  <c r="B404" i="14"/>
  <c r="I387" i="14"/>
  <c r="I388" i="14"/>
  <c r="I389" i="14"/>
  <c r="I390" i="14"/>
  <c r="I393" i="14"/>
  <c r="I394" i="14"/>
  <c r="I395" i="14"/>
  <c r="I396" i="14"/>
  <c r="I397" i="14"/>
  <c r="I398" i="14"/>
  <c r="I399" i="14"/>
  <c r="H387" i="14"/>
  <c r="H388" i="14"/>
  <c r="H389" i="14"/>
  <c r="H390" i="14"/>
  <c r="H391" i="14"/>
  <c r="H393" i="14"/>
  <c r="H394" i="14"/>
  <c r="H395" i="14"/>
  <c r="H396" i="14"/>
  <c r="H397" i="14"/>
  <c r="H398" i="14"/>
  <c r="H399" i="14"/>
  <c r="H400" i="14"/>
  <c r="G387" i="14"/>
  <c r="G388" i="14"/>
  <c r="G389" i="14"/>
  <c r="G390" i="14"/>
  <c r="G391" i="14"/>
  <c r="G393" i="14"/>
  <c r="G394" i="14"/>
  <c r="G395" i="14"/>
  <c r="G396" i="14"/>
  <c r="G397" i="14"/>
  <c r="G398" i="14"/>
  <c r="G399" i="14"/>
  <c r="G400" i="14"/>
  <c r="F387" i="14"/>
  <c r="F388" i="14"/>
  <c r="F389" i="14"/>
  <c r="F390" i="14"/>
  <c r="F391" i="14"/>
  <c r="F393" i="14"/>
  <c r="F394" i="14"/>
  <c r="F395" i="14"/>
  <c r="F396" i="14"/>
  <c r="F397" i="14"/>
  <c r="F398" i="14"/>
  <c r="F399" i="14"/>
  <c r="E387" i="14"/>
  <c r="E388" i="14"/>
  <c r="E390" i="14"/>
  <c r="E391" i="14"/>
  <c r="E393" i="14"/>
  <c r="E394" i="14"/>
  <c r="E395" i="14"/>
  <c r="E396" i="14"/>
  <c r="E397" i="14"/>
  <c r="E398" i="14"/>
  <c r="E399" i="14"/>
  <c r="C399" i="14"/>
  <c r="B399" i="14"/>
  <c r="C398" i="14"/>
  <c r="B398" i="14"/>
  <c r="C397" i="14"/>
  <c r="B397" i="14"/>
  <c r="C396" i="14"/>
  <c r="B396" i="14"/>
  <c r="C395" i="14"/>
  <c r="B395" i="14"/>
  <c r="C394" i="14"/>
  <c r="B394" i="14"/>
  <c r="C393" i="14"/>
  <c r="B393" i="14"/>
  <c r="C391" i="14"/>
  <c r="B391" i="14"/>
  <c r="C390" i="14"/>
  <c r="B390" i="14"/>
  <c r="C389" i="14"/>
  <c r="B389" i="14"/>
  <c r="C388" i="14"/>
  <c r="B388" i="14"/>
  <c r="C387" i="14"/>
  <c r="B387" i="14"/>
  <c r="I374" i="14"/>
  <c r="I375" i="14"/>
  <c r="I376" i="14"/>
  <c r="I377" i="14"/>
  <c r="I378" i="14"/>
  <c r="I379" i="14"/>
  <c r="I380" i="14"/>
  <c r="I381" i="14"/>
  <c r="I382" i="14"/>
  <c r="I383" i="14"/>
  <c r="H374" i="14"/>
  <c r="H375" i="14"/>
  <c r="H376" i="14"/>
  <c r="H377" i="14"/>
  <c r="H378" i="14"/>
  <c r="H379" i="14"/>
  <c r="H380" i="14"/>
  <c r="H381" i="14"/>
  <c r="H382" i="14"/>
  <c r="H383" i="14"/>
  <c r="G374" i="14"/>
  <c r="G375" i="14"/>
  <c r="G376" i="14"/>
  <c r="G377" i="14"/>
  <c r="G378" i="14"/>
  <c r="G379" i="14"/>
  <c r="G380" i="14"/>
  <c r="G381" i="14"/>
  <c r="G382" i="14"/>
  <c r="G383" i="14"/>
  <c r="F374" i="14"/>
  <c r="F376" i="14"/>
  <c r="F377" i="14"/>
  <c r="F378" i="14"/>
  <c r="F379" i="14"/>
  <c r="F380" i="14"/>
  <c r="F381" i="14"/>
  <c r="F382" i="14"/>
  <c r="E374" i="14"/>
  <c r="E375" i="14"/>
  <c r="E376" i="14"/>
  <c r="E377" i="14"/>
  <c r="E378" i="14"/>
  <c r="E379" i="14"/>
  <c r="E380" i="14"/>
  <c r="E381" i="14"/>
  <c r="E382" i="14"/>
  <c r="C382" i="14"/>
  <c r="B382" i="14"/>
  <c r="C381" i="14"/>
  <c r="B381" i="14"/>
  <c r="C380" i="14"/>
  <c r="B380" i="14"/>
  <c r="C379" i="14"/>
  <c r="B379" i="14"/>
  <c r="C378" i="14"/>
  <c r="B378" i="14"/>
  <c r="C377" i="14"/>
  <c r="B377" i="14"/>
  <c r="C376" i="14"/>
  <c r="B376" i="14"/>
  <c r="C375" i="14"/>
  <c r="B375" i="14"/>
  <c r="C374" i="14"/>
  <c r="B374" i="14"/>
  <c r="I364" i="14"/>
  <c r="I365" i="14"/>
  <c r="I366" i="14"/>
  <c r="I367" i="14"/>
  <c r="I368" i="14"/>
  <c r="I369" i="14"/>
  <c r="I370" i="14"/>
  <c r="H364" i="14"/>
  <c r="H365" i="14"/>
  <c r="H366" i="14"/>
  <c r="H367" i="14"/>
  <c r="H368" i="14"/>
  <c r="H369" i="14"/>
  <c r="H370" i="14"/>
  <c r="G364" i="14"/>
  <c r="G365" i="14"/>
  <c r="G366" i="14"/>
  <c r="G367" i="14"/>
  <c r="G368" i="14"/>
  <c r="G369" i="14"/>
  <c r="G370" i="14"/>
  <c r="F364" i="14"/>
  <c r="F365" i="14"/>
  <c r="F366" i="14"/>
  <c r="F367" i="14"/>
  <c r="F368" i="14"/>
  <c r="F369" i="14"/>
  <c r="F370" i="14"/>
  <c r="E364" i="14"/>
  <c r="E365" i="14"/>
  <c r="E366" i="14"/>
  <c r="E367" i="14"/>
  <c r="E368" i="14"/>
  <c r="E369" i="14"/>
  <c r="E370" i="14"/>
  <c r="C369" i="14"/>
  <c r="B369" i="14"/>
  <c r="C368" i="14"/>
  <c r="B368" i="14"/>
  <c r="C367" i="14"/>
  <c r="B367" i="14"/>
  <c r="C366" i="14"/>
  <c r="B366" i="14"/>
  <c r="C365" i="14"/>
  <c r="B365" i="14"/>
  <c r="C364" i="14"/>
  <c r="B364" i="14"/>
  <c r="I342" i="14"/>
  <c r="I343" i="14"/>
  <c r="I344" i="14"/>
  <c r="I345" i="14"/>
  <c r="I346" i="14"/>
  <c r="I347" i="14"/>
  <c r="I348" i="14"/>
  <c r="I349" i="14"/>
  <c r="I350" i="14"/>
  <c r="I351" i="14"/>
  <c r="I352" i="14"/>
  <c r="I353" i="14"/>
  <c r="I354" i="14"/>
  <c r="I355" i="14"/>
  <c r="I356" i="14"/>
  <c r="I357" i="14"/>
  <c r="I358" i="14"/>
  <c r="I359" i="14"/>
  <c r="I360" i="14"/>
  <c r="H342" i="14"/>
  <c r="H343" i="14"/>
  <c r="H344" i="14"/>
  <c r="H345" i="14"/>
  <c r="H346" i="14"/>
  <c r="H347" i="14"/>
  <c r="H348" i="14"/>
  <c r="H349" i="14"/>
  <c r="H350" i="14"/>
  <c r="H351" i="14"/>
  <c r="H352" i="14"/>
  <c r="H353" i="14"/>
  <c r="H354" i="14"/>
  <c r="H355" i="14"/>
  <c r="H356" i="14"/>
  <c r="H357" i="14"/>
  <c r="H358" i="14"/>
  <c r="H359" i="14"/>
  <c r="H360" i="14"/>
  <c r="G342" i="14"/>
  <c r="G343" i="14"/>
  <c r="G344" i="14"/>
  <c r="G345" i="14"/>
  <c r="G346" i="14"/>
  <c r="G347" i="14"/>
  <c r="G348" i="14"/>
  <c r="G349" i="14"/>
  <c r="G350" i="14"/>
  <c r="G351" i="14"/>
  <c r="G352" i="14"/>
  <c r="G353" i="14"/>
  <c r="G354" i="14"/>
  <c r="G355" i="14"/>
  <c r="G356" i="14"/>
  <c r="G357" i="14"/>
  <c r="G358" i="14"/>
  <c r="G359" i="14"/>
  <c r="G360" i="14"/>
  <c r="F342" i="14"/>
  <c r="F343" i="14"/>
  <c r="F344" i="14"/>
  <c r="F345" i="14"/>
  <c r="F346" i="14"/>
  <c r="F347" i="14"/>
  <c r="F348" i="14"/>
  <c r="F349" i="14"/>
  <c r="F350" i="14"/>
  <c r="F351" i="14"/>
  <c r="F352" i="14"/>
  <c r="F353" i="14"/>
  <c r="F354" i="14"/>
  <c r="F355" i="14"/>
  <c r="F356" i="14"/>
  <c r="F357" i="14"/>
  <c r="F358" i="14"/>
  <c r="F359" i="14"/>
  <c r="E342" i="14"/>
  <c r="E343" i="14"/>
  <c r="E344" i="14"/>
  <c r="E345" i="14"/>
  <c r="E346" i="14"/>
  <c r="E347" i="14"/>
  <c r="E348" i="14"/>
  <c r="E349" i="14"/>
  <c r="E350" i="14"/>
  <c r="E351" i="14"/>
  <c r="E352" i="14"/>
  <c r="E353" i="14"/>
  <c r="E354" i="14"/>
  <c r="E355" i="14"/>
  <c r="E356" i="14"/>
  <c r="E357" i="14"/>
  <c r="E358" i="14"/>
  <c r="E359" i="14"/>
  <c r="C359" i="14"/>
  <c r="B359" i="14"/>
  <c r="C358" i="14"/>
  <c r="B358" i="14"/>
  <c r="C357" i="14"/>
  <c r="B357" i="14"/>
  <c r="C356" i="14"/>
  <c r="B356" i="14"/>
  <c r="C355" i="14"/>
  <c r="B355" i="14"/>
  <c r="C354" i="14"/>
  <c r="B354" i="14"/>
  <c r="C353" i="14"/>
  <c r="B353" i="14"/>
  <c r="C352" i="14"/>
  <c r="B352" i="14"/>
  <c r="C351" i="14"/>
  <c r="B351" i="14"/>
  <c r="C350" i="14"/>
  <c r="B350" i="14"/>
  <c r="C349" i="14"/>
  <c r="B349" i="14"/>
  <c r="C348" i="14"/>
  <c r="B348" i="14"/>
  <c r="C347" i="14"/>
  <c r="B347" i="14"/>
  <c r="C346" i="14"/>
  <c r="B346" i="14"/>
  <c r="C345" i="14"/>
  <c r="B345" i="14"/>
  <c r="C344" i="14"/>
  <c r="B344" i="14"/>
  <c r="C343" i="14"/>
  <c r="B343" i="14"/>
  <c r="C342" i="14"/>
  <c r="B342" i="14"/>
  <c r="I323" i="14"/>
  <c r="I324" i="14"/>
  <c r="I325" i="14"/>
  <c r="I326" i="14"/>
  <c r="I327" i="14"/>
  <c r="I328" i="14"/>
  <c r="I329" i="14"/>
  <c r="I330" i="14"/>
  <c r="I331" i="14"/>
  <c r="I332" i="14"/>
  <c r="I333" i="14"/>
  <c r="I334" i="14"/>
  <c r="I335" i="14"/>
  <c r="I336" i="14"/>
  <c r="I337" i="14"/>
  <c r="I338" i="14"/>
  <c r="H323" i="14"/>
  <c r="H324" i="14"/>
  <c r="H325" i="14"/>
  <c r="H326" i="14"/>
  <c r="H327" i="14"/>
  <c r="H328" i="14"/>
  <c r="H329" i="14"/>
  <c r="H330" i="14"/>
  <c r="H331" i="14"/>
  <c r="H332" i="14"/>
  <c r="H333" i="14"/>
  <c r="H334" i="14"/>
  <c r="H335" i="14"/>
  <c r="H336" i="14"/>
  <c r="H337" i="14"/>
  <c r="H338" i="14"/>
  <c r="G323" i="14"/>
  <c r="G324" i="14"/>
  <c r="G325" i="14"/>
  <c r="G326" i="14"/>
  <c r="G327" i="14"/>
  <c r="G328" i="14"/>
  <c r="G329" i="14"/>
  <c r="G330" i="14"/>
  <c r="G331" i="14"/>
  <c r="G332" i="14"/>
  <c r="G333" i="14"/>
  <c r="G334" i="14"/>
  <c r="G335" i="14"/>
  <c r="G336" i="14"/>
  <c r="G337" i="14"/>
  <c r="G338" i="14"/>
  <c r="F323" i="14"/>
  <c r="F324" i="14"/>
  <c r="F325" i="14"/>
  <c r="F326" i="14"/>
  <c r="F327" i="14"/>
  <c r="F328" i="14"/>
  <c r="F329" i="14"/>
  <c r="F330" i="14"/>
  <c r="F331" i="14"/>
  <c r="F332" i="14"/>
  <c r="F333" i="14"/>
  <c r="F334" i="14"/>
  <c r="F335" i="14"/>
  <c r="F336" i="14"/>
  <c r="F337" i="14"/>
  <c r="E323" i="14"/>
  <c r="E324" i="14"/>
  <c r="E325" i="14"/>
  <c r="E326" i="14"/>
  <c r="E327" i="14"/>
  <c r="E328" i="14"/>
  <c r="E329" i="14"/>
  <c r="E330" i="14"/>
  <c r="E331" i="14"/>
  <c r="E332" i="14"/>
  <c r="E333" i="14"/>
  <c r="E334" i="14"/>
  <c r="E335" i="14"/>
  <c r="E336" i="14"/>
  <c r="E337" i="14"/>
  <c r="C337" i="14"/>
  <c r="B337" i="14"/>
  <c r="C336" i="14"/>
  <c r="B336" i="14"/>
  <c r="C335" i="14"/>
  <c r="B335" i="14"/>
  <c r="C334" i="14"/>
  <c r="B334" i="14"/>
  <c r="C333" i="14"/>
  <c r="B333" i="14"/>
  <c r="C332" i="14"/>
  <c r="B332" i="14"/>
  <c r="C331" i="14"/>
  <c r="B331" i="14"/>
  <c r="C330" i="14"/>
  <c r="B330" i="14"/>
  <c r="C329" i="14"/>
  <c r="B329" i="14"/>
  <c r="C328" i="14"/>
  <c r="B328" i="14"/>
  <c r="C327" i="14"/>
  <c r="B327" i="14"/>
  <c r="C326" i="14"/>
  <c r="B326" i="14"/>
  <c r="C325" i="14"/>
  <c r="B325" i="14"/>
  <c r="C324" i="14"/>
  <c r="B324" i="14"/>
  <c r="C323" i="14"/>
  <c r="B323" i="14"/>
  <c r="I309" i="14"/>
  <c r="I310" i="14"/>
  <c r="I311" i="14"/>
  <c r="I312" i="14"/>
  <c r="I313" i="14"/>
  <c r="I314" i="14"/>
  <c r="I315" i="14"/>
  <c r="I316" i="14"/>
  <c r="I317" i="14"/>
  <c r="I318" i="14"/>
  <c r="I319" i="14"/>
  <c r="H309" i="14"/>
  <c r="H310" i="14"/>
  <c r="H311" i="14"/>
  <c r="H312" i="14"/>
  <c r="H313" i="14"/>
  <c r="H314" i="14"/>
  <c r="H315" i="14"/>
  <c r="H316" i="14"/>
  <c r="H317" i="14"/>
  <c r="H318" i="14"/>
  <c r="G309" i="14"/>
  <c r="G310" i="14"/>
  <c r="G311" i="14"/>
  <c r="G312" i="14"/>
  <c r="G313" i="14"/>
  <c r="G314" i="14"/>
  <c r="G315" i="14"/>
  <c r="G316" i="14"/>
  <c r="G317" i="14"/>
  <c r="G318" i="14"/>
  <c r="G319" i="14"/>
  <c r="F309" i="14"/>
  <c r="F310" i="14"/>
  <c r="F311" i="14"/>
  <c r="F312" i="14"/>
  <c r="F313" i="14"/>
  <c r="F314" i="14"/>
  <c r="F315" i="14"/>
  <c r="F316" i="14"/>
  <c r="F317" i="14"/>
  <c r="F318" i="14"/>
  <c r="E309" i="14"/>
  <c r="E310" i="14"/>
  <c r="E311" i="14"/>
  <c r="E312" i="14"/>
  <c r="E313" i="14"/>
  <c r="E314" i="14"/>
  <c r="E315" i="14"/>
  <c r="E316" i="14"/>
  <c r="E317" i="14"/>
  <c r="E318" i="14"/>
  <c r="C318" i="14"/>
  <c r="B318" i="14"/>
  <c r="C317" i="14"/>
  <c r="B317" i="14"/>
  <c r="C316" i="14"/>
  <c r="B316" i="14"/>
  <c r="C315" i="14"/>
  <c r="B315" i="14"/>
  <c r="C314" i="14"/>
  <c r="B314" i="14"/>
  <c r="C313" i="14"/>
  <c r="B313" i="14"/>
  <c r="C312" i="14"/>
  <c r="B312" i="14"/>
  <c r="C311" i="14"/>
  <c r="B311" i="14"/>
  <c r="C310" i="14"/>
  <c r="B310" i="14"/>
  <c r="C309" i="14"/>
  <c r="B309" i="14"/>
  <c r="I298" i="14"/>
  <c r="I299" i="14"/>
  <c r="I300" i="14"/>
  <c r="I301" i="14"/>
  <c r="I302" i="14"/>
  <c r="I303" i="14"/>
  <c r="I304" i="14"/>
  <c r="I305" i="14"/>
  <c r="H298" i="14"/>
  <c r="H299" i="14"/>
  <c r="H300" i="14"/>
  <c r="H301" i="14"/>
  <c r="H302" i="14"/>
  <c r="H303" i="14"/>
  <c r="H304" i="14"/>
  <c r="H305" i="14"/>
  <c r="G298" i="14"/>
  <c r="G299" i="14"/>
  <c r="G300" i="14"/>
  <c r="G301" i="14"/>
  <c r="G302" i="14"/>
  <c r="G303" i="14"/>
  <c r="G304" i="14"/>
  <c r="F298" i="14"/>
  <c r="F299" i="14"/>
  <c r="F300" i="14"/>
  <c r="F301" i="14"/>
  <c r="F302" i="14"/>
  <c r="F303" i="14"/>
  <c r="F304" i="14"/>
  <c r="E298" i="14"/>
  <c r="E299" i="14"/>
  <c r="E300" i="14"/>
  <c r="E301" i="14"/>
  <c r="E302" i="14"/>
  <c r="E303" i="14"/>
  <c r="E304" i="14"/>
  <c r="C304" i="14"/>
  <c r="B304" i="14"/>
  <c r="C303" i="14"/>
  <c r="B303" i="14"/>
  <c r="C302" i="14"/>
  <c r="B302" i="14"/>
  <c r="C301" i="14"/>
  <c r="B301" i="14"/>
  <c r="C300" i="14"/>
  <c r="B300" i="14"/>
  <c r="C299" i="14"/>
  <c r="B299" i="14"/>
  <c r="C298" i="14"/>
  <c r="B298" i="14"/>
  <c r="I277" i="14"/>
  <c r="I278" i="14"/>
  <c r="I279" i="14"/>
  <c r="I280" i="14"/>
  <c r="I281" i="14"/>
  <c r="I282" i="14"/>
  <c r="I283" i="14"/>
  <c r="I284" i="14"/>
  <c r="I285" i="14"/>
  <c r="I286" i="14"/>
  <c r="I287" i="14"/>
  <c r="I288" i="14"/>
  <c r="I289" i="14"/>
  <c r="I290" i="14"/>
  <c r="I291" i="14"/>
  <c r="I292" i="14"/>
  <c r="I293" i="14"/>
  <c r="I294" i="14"/>
  <c r="H277" i="14"/>
  <c r="H278" i="14"/>
  <c r="H279" i="14"/>
  <c r="H280" i="14"/>
  <c r="H281" i="14"/>
  <c r="H282" i="14"/>
  <c r="H283" i="14"/>
  <c r="H284" i="14"/>
  <c r="H285" i="14"/>
  <c r="H286" i="14"/>
  <c r="H287" i="14"/>
  <c r="H288" i="14"/>
  <c r="H289" i="14"/>
  <c r="H290" i="14"/>
  <c r="H291" i="14"/>
  <c r="H292" i="14"/>
  <c r="H293" i="14"/>
  <c r="H294" i="14"/>
  <c r="G277" i="14"/>
  <c r="G278" i="14"/>
  <c r="G279" i="14"/>
  <c r="G280" i="14"/>
  <c r="G281" i="14"/>
  <c r="G282" i="14"/>
  <c r="G283" i="14"/>
  <c r="G284" i="14"/>
  <c r="G285" i="14"/>
  <c r="G286" i="14"/>
  <c r="G287" i="14"/>
  <c r="G288" i="14"/>
  <c r="G289" i="14"/>
  <c r="G290" i="14"/>
  <c r="G291" i="14"/>
  <c r="G292" i="14"/>
  <c r="G293" i="14"/>
  <c r="G294" i="14"/>
  <c r="F277" i="14"/>
  <c r="F278" i="14"/>
  <c r="F279" i="14"/>
  <c r="F280" i="14"/>
  <c r="F281" i="14"/>
  <c r="F282" i="14"/>
  <c r="F283" i="14"/>
  <c r="F285" i="14"/>
  <c r="F286" i="14"/>
  <c r="F287" i="14"/>
  <c r="F288" i="14"/>
  <c r="F289" i="14"/>
  <c r="F290" i="14"/>
  <c r="F291" i="14"/>
  <c r="F292" i="14"/>
  <c r="F293" i="14"/>
  <c r="E277" i="14"/>
  <c r="E278" i="14"/>
  <c r="E279" i="14"/>
  <c r="E280" i="14"/>
  <c r="E281" i="14"/>
  <c r="E282" i="14"/>
  <c r="E283" i="14"/>
  <c r="E284" i="14"/>
  <c r="E285" i="14"/>
  <c r="E286" i="14"/>
  <c r="E287" i="14"/>
  <c r="E288" i="14"/>
  <c r="E289" i="14"/>
  <c r="E290" i="14"/>
  <c r="E291" i="14"/>
  <c r="E292" i="14"/>
  <c r="E293" i="14"/>
  <c r="C293" i="14"/>
  <c r="B293" i="14"/>
  <c r="C292" i="14"/>
  <c r="B292" i="14"/>
  <c r="C291" i="14"/>
  <c r="B291" i="14"/>
  <c r="C290" i="14"/>
  <c r="B290" i="14"/>
  <c r="C289" i="14"/>
  <c r="B289" i="14"/>
  <c r="C288" i="14"/>
  <c r="B288" i="14"/>
  <c r="C287" i="14"/>
  <c r="B287" i="14"/>
  <c r="C286" i="14"/>
  <c r="B286" i="14"/>
  <c r="C285" i="14"/>
  <c r="B285" i="14"/>
  <c r="C284" i="14"/>
  <c r="B284" i="14"/>
  <c r="C283" i="14"/>
  <c r="B283" i="14"/>
  <c r="C282" i="14"/>
  <c r="B282" i="14"/>
  <c r="C281" i="14"/>
  <c r="B281" i="14"/>
  <c r="C280" i="14"/>
  <c r="B280" i="14"/>
  <c r="C279" i="14"/>
  <c r="B279" i="14"/>
  <c r="C278" i="14"/>
  <c r="B278" i="14"/>
  <c r="C277" i="14"/>
  <c r="B277" i="14"/>
  <c r="I259" i="14"/>
  <c r="I260" i="14"/>
  <c r="I261" i="14"/>
  <c r="I262" i="14"/>
  <c r="I263" i="14"/>
  <c r="I264" i="14"/>
  <c r="I265" i="14"/>
  <c r="I266" i="14"/>
  <c r="I267" i="14"/>
  <c r="I268" i="14"/>
  <c r="I269" i="14"/>
  <c r="I270" i="14"/>
  <c r="I271" i="14"/>
  <c r="I272" i="14"/>
  <c r="I273" i="14"/>
  <c r="H259" i="14"/>
  <c r="H260" i="14"/>
  <c r="H261" i="14"/>
  <c r="H262" i="14"/>
  <c r="H263" i="14"/>
  <c r="H264" i="14"/>
  <c r="H265" i="14"/>
  <c r="H266" i="14"/>
  <c r="H267" i="14"/>
  <c r="H268" i="14"/>
  <c r="H269" i="14"/>
  <c r="H270" i="14"/>
  <c r="H271" i="14"/>
  <c r="H272" i="14"/>
  <c r="H273" i="14"/>
  <c r="G259" i="14"/>
  <c r="G260" i="14"/>
  <c r="G261" i="14"/>
  <c r="G262" i="14"/>
  <c r="G263" i="14"/>
  <c r="G264" i="14"/>
  <c r="G265" i="14"/>
  <c r="G266" i="14"/>
  <c r="G267" i="14"/>
  <c r="G268" i="14"/>
  <c r="G269" i="14"/>
  <c r="G270" i="14"/>
  <c r="G271" i="14"/>
  <c r="G272" i="14"/>
  <c r="G273" i="14"/>
  <c r="F259" i="14"/>
  <c r="F260" i="14"/>
  <c r="F261" i="14"/>
  <c r="F262" i="14"/>
  <c r="F263" i="14"/>
  <c r="F264" i="14"/>
  <c r="F266" i="14"/>
  <c r="F267" i="14"/>
  <c r="F268" i="14"/>
  <c r="F269" i="14"/>
  <c r="F270" i="14"/>
  <c r="F271" i="14"/>
  <c r="F272" i="14"/>
  <c r="E259" i="14"/>
  <c r="E260" i="14"/>
  <c r="E261" i="14"/>
  <c r="E262" i="14"/>
  <c r="E263" i="14"/>
  <c r="E264" i="14"/>
  <c r="E265" i="14"/>
  <c r="E266" i="14"/>
  <c r="E267" i="14"/>
  <c r="E268" i="14"/>
  <c r="E269" i="14"/>
  <c r="E270" i="14"/>
  <c r="E271" i="14"/>
  <c r="E272" i="14"/>
  <c r="C272" i="14"/>
  <c r="B272" i="14"/>
  <c r="C271" i="14"/>
  <c r="B271" i="14"/>
  <c r="C270" i="14"/>
  <c r="B270" i="14"/>
  <c r="C269" i="14"/>
  <c r="B269" i="14"/>
  <c r="C268" i="14"/>
  <c r="B268" i="14"/>
  <c r="C267" i="14"/>
  <c r="B267" i="14"/>
  <c r="C266" i="14"/>
  <c r="B266" i="14"/>
  <c r="C265" i="14"/>
  <c r="B265" i="14"/>
  <c r="C264" i="14"/>
  <c r="B264" i="14"/>
  <c r="C263" i="14"/>
  <c r="B263" i="14"/>
  <c r="C262" i="14"/>
  <c r="B262" i="14"/>
  <c r="C261" i="14"/>
  <c r="B261" i="14"/>
  <c r="C260" i="14"/>
  <c r="B260" i="14"/>
  <c r="C259" i="14"/>
  <c r="B259" i="14"/>
  <c r="I244" i="14"/>
  <c r="I245" i="14"/>
  <c r="I246" i="14"/>
  <c r="I247" i="14"/>
  <c r="I248" i="14"/>
  <c r="I249" i="14"/>
  <c r="I250" i="14"/>
  <c r="I251" i="14"/>
  <c r="I252" i="14"/>
  <c r="I253" i="14"/>
  <c r="I254" i="14"/>
  <c r="I255" i="14"/>
  <c r="H244" i="14"/>
  <c r="H245" i="14"/>
  <c r="H246" i="14"/>
  <c r="H247" i="14"/>
  <c r="H248" i="14"/>
  <c r="H249" i="14"/>
  <c r="H250" i="14"/>
  <c r="H251" i="14"/>
  <c r="H252" i="14"/>
  <c r="H253" i="14"/>
  <c r="H254" i="14"/>
  <c r="H255" i="14"/>
  <c r="G244" i="14"/>
  <c r="G245" i="14"/>
  <c r="G246" i="14"/>
  <c r="G247" i="14"/>
  <c r="G248" i="14"/>
  <c r="G249" i="14"/>
  <c r="G250" i="14"/>
  <c r="G251" i="14"/>
  <c r="G252" i="14"/>
  <c r="G253" i="14"/>
  <c r="G254" i="14"/>
  <c r="G255" i="14"/>
  <c r="F244" i="14"/>
  <c r="F245" i="14"/>
  <c r="F246" i="14"/>
  <c r="F247" i="14"/>
  <c r="F249" i="14"/>
  <c r="F250" i="14"/>
  <c r="F251" i="14"/>
  <c r="F252" i="14"/>
  <c r="F253" i="14"/>
  <c r="F254" i="14"/>
  <c r="E244" i="14"/>
  <c r="E245" i="14"/>
  <c r="E246" i="14"/>
  <c r="E247" i="14"/>
  <c r="E248" i="14"/>
  <c r="E249" i="14"/>
  <c r="E250" i="14"/>
  <c r="E251" i="14"/>
  <c r="E252" i="14"/>
  <c r="E253" i="14"/>
  <c r="E254" i="14"/>
  <c r="C254" i="14"/>
  <c r="B254" i="14"/>
  <c r="C253" i="14"/>
  <c r="B253" i="14"/>
  <c r="C252" i="14"/>
  <c r="B252" i="14"/>
  <c r="C251" i="14"/>
  <c r="B251" i="14"/>
  <c r="C250" i="14"/>
  <c r="B250" i="14"/>
  <c r="C249" i="14"/>
  <c r="B249" i="14"/>
  <c r="C248" i="14"/>
  <c r="B248" i="14"/>
  <c r="C247" i="14"/>
  <c r="B247" i="14"/>
  <c r="C246" i="14"/>
  <c r="B246" i="14"/>
  <c r="C245" i="14"/>
  <c r="B245" i="14"/>
  <c r="C244" i="14"/>
  <c r="B244" i="14"/>
  <c r="I234" i="14"/>
  <c r="I235" i="14"/>
  <c r="I236" i="14"/>
  <c r="I237" i="14"/>
  <c r="I238" i="14"/>
  <c r="I239" i="14"/>
  <c r="I240" i="14"/>
  <c r="H234" i="14"/>
  <c r="H235" i="14"/>
  <c r="H236" i="14"/>
  <c r="H237" i="14"/>
  <c r="H238" i="14"/>
  <c r="H239" i="14"/>
  <c r="G234" i="14"/>
  <c r="G235" i="14"/>
  <c r="G236" i="14"/>
  <c r="G237" i="14"/>
  <c r="G238" i="14"/>
  <c r="G239" i="14"/>
  <c r="F234" i="14"/>
  <c r="F235" i="14"/>
  <c r="F237" i="14"/>
  <c r="F238" i="14"/>
  <c r="F239" i="14"/>
  <c r="E234" i="14"/>
  <c r="E236" i="14"/>
  <c r="E237" i="14"/>
  <c r="E238" i="14"/>
  <c r="E239" i="14"/>
  <c r="C239" i="14"/>
  <c r="B239" i="14"/>
  <c r="C238" i="14"/>
  <c r="B238" i="14"/>
  <c r="C237" i="14"/>
  <c r="B237" i="14"/>
  <c r="C236" i="14"/>
  <c r="B236" i="14"/>
  <c r="C235" i="14"/>
  <c r="B235" i="14"/>
  <c r="C234" i="14"/>
  <c r="B234" i="14"/>
  <c r="I224" i="14"/>
  <c r="I225" i="14"/>
  <c r="I226" i="14"/>
  <c r="I227" i="14"/>
  <c r="I229" i="14"/>
  <c r="I230" i="14"/>
  <c r="H224" i="14"/>
  <c r="H225" i="14"/>
  <c r="H226" i="14"/>
  <c r="H227" i="14"/>
  <c r="H229" i="14"/>
  <c r="H230" i="14"/>
  <c r="G224" i="14"/>
  <c r="G225" i="14"/>
  <c r="G226" i="14"/>
  <c r="G227" i="14"/>
  <c r="G229" i="14"/>
  <c r="G230" i="14"/>
  <c r="F224" i="14"/>
  <c r="F225" i="14"/>
  <c r="F226" i="14"/>
  <c r="F227" i="14"/>
  <c r="F229" i="14"/>
  <c r="F230" i="14"/>
  <c r="E224" i="14"/>
  <c r="E225" i="14"/>
  <c r="E226" i="14"/>
  <c r="E227" i="14"/>
  <c r="E229" i="14"/>
  <c r="C229" i="14"/>
  <c r="B229" i="14"/>
  <c r="C227" i="14"/>
  <c r="B227" i="14"/>
  <c r="C226" i="14"/>
  <c r="B226" i="14"/>
  <c r="C225" i="14"/>
  <c r="B225" i="14"/>
  <c r="C224" i="14"/>
  <c r="B224" i="14"/>
  <c r="I211" i="14"/>
  <c r="I212" i="14"/>
  <c r="I213" i="14"/>
  <c r="I214" i="14"/>
  <c r="I215" i="14"/>
  <c r="I216" i="14"/>
  <c r="I217" i="14"/>
  <c r="I218" i="14"/>
  <c r="I219" i="14"/>
  <c r="I220" i="14"/>
  <c r="H211" i="14"/>
  <c r="H212" i="14"/>
  <c r="H213" i="14"/>
  <c r="H214" i="14"/>
  <c r="H215" i="14"/>
  <c r="H216" i="14"/>
  <c r="H217" i="14"/>
  <c r="H218" i="14"/>
  <c r="H219" i="14"/>
  <c r="H220" i="14"/>
  <c r="G211" i="14"/>
  <c r="G212" i="14"/>
  <c r="G213" i="14"/>
  <c r="G214" i="14"/>
  <c r="G215" i="14"/>
  <c r="G216" i="14"/>
  <c r="G217" i="14"/>
  <c r="G218" i="14"/>
  <c r="G219" i="14"/>
  <c r="F211" i="14"/>
  <c r="F212" i="14"/>
  <c r="F213" i="14"/>
  <c r="F214" i="14"/>
  <c r="F215" i="14"/>
  <c r="F216" i="14"/>
  <c r="F217" i="14"/>
  <c r="F218" i="14"/>
  <c r="F219" i="14"/>
  <c r="E211" i="14"/>
  <c r="E212" i="14"/>
  <c r="E213" i="14"/>
  <c r="E214" i="14"/>
  <c r="E215" i="14"/>
  <c r="E216" i="14"/>
  <c r="E217" i="14"/>
  <c r="E218" i="14"/>
  <c r="E219" i="14"/>
  <c r="C219" i="14"/>
  <c r="B219" i="14"/>
  <c r="C218" i="14"/>
  <c r="B218" i="14"/>
  <c r="C217" i="14"/>
  <c r="B217" i="14"/>
  <c r="C216" i="14"/>
  <c r="B216" i="14"/>
  <c r="C215" i="14"/>
  <c r="B215" i="14"/>
  <c r="C214" i="14"/>
  <c r="B214" i="14"/>
  <c r="C213" i="14"/>
  <c r="B213" i="14"/>
  <c r="C212" i="14"/>
  <c r="B212" i="14"/>
  <c r="C211" i="14"/>
  <c r="B211" i="14"/>
  <c r="B193" i="14"/>
  <c r="C193" i="14"/>
  <c r="E193" i="14"/>
  <c r="F193" i="14"/>
  <c r="G193" i="14"/>
  <c r="H193" i="14"/>
  <c r="H194" i="14"/>
  <c r="H195" i="14"/>
  <c r="H196" i="14"/>
  <c r="H197" i="14"/>
  <c r="H198" i="14"/>
  <c r="H199" i="14"/>
  <c r="H200" i="14"/>
  <c r="H201" i="14"/>
  <c r="H202" i="14"/>
  <c r="H203" i="14"/>
  <c r="H204" i="14"/>
  <c r="H205" i="14"/>
  <c r="H206" i="14"/>
  <c r="H207" i="14"/>
  <c r="I193" i="14"/>
  <c r="B194" i="14"/>
  <c r="C194" i="14"/>
  <c r="E194" i="14"/>
  <c r="F194" i="14"/>
  <c r="G194" i="14"/>
  <c r="I194" i="14"/>
  <c r="B195" i="14"/>
  <c r="C195" i="14"/>
  <c r="E195" i="14"/>
  <c r="F195" i="14"/>
  <c r="G195" i="14"/>
  <c r="I195" i="14"/>
  <c r="B196" i="14"/>
  <c r="C196" i="14"/>
  <c r="E196" i="14"/>
  <c r="F196" i="14"/>
  <c r="G196" i="14"/>
  <c r="I196" i="14"/>
  <c r="I197" i="14"/>
  <c r="I198" i="14"/>
  <c r="I199" i="14"/>
  <c r="I200" i="14"/>
  <c r="I201" i="14"/>
  <c r="I202" i="14"/>
  <c r="I203" i="14"/>
  <c r="I204" i="14"/>
  <c r="I205" i="14"/>
  <c r="I206" i="14"/>
  <c r="I207" i="14"/>
  <c r="B197" i="14"/>
  <c r="C197" i="14"/>
  <c r="E197" i="14"/>
  <c r="F197" i="14"/>
  <c r="G197" i="14"/>
  <c r="B198" i="14"/>
  <c r="C198" i="14"/>
  <c r="E198" i="14"/>
  <c r="F198" i="14"/>
  <c r="G198" i="14"/>
  <c r="B199" i="14"/>
  <c r="C199" i="14"/>
  <c r="E199" i="14"/>
  <c r="F199" i="14"/>
  <c r="G199" i="14"/>
  <c r="B200" i="14"/>
  <c r="C200" i="14"/>
  <c r="E200" i="14"/>
  <c r="F200" i="14"/>
  <c r="G200" i="14"/>
  <c r="B201" i="14"/>
  <c r="C201" i="14"/>
  <c r="E201" i="14"/>
  <c r="F201" i="14"/>
  <c r="G201" i="14"/>
  <c r="B202" i="14"/>
  <c r="C202" i="14"/>
  <c r="E202" i="14"/>
  <c r="F202" i="14"/>
  <c r="G202" i="14"/>
  <c r="B203" i="14"/>
  <c r="C203" i="14"/>
  <c r="E203" i="14"/>
  <c r="F203" i="14"/>
  <c r="G203" i="14"/>
  <c r="B204" i="14"/>
  <c r="C204" i="14"/>
  <c r="E204" i="14"/>
  <c r="F204" i="14"/>
  <c r="G204" i="14"/>
  <c r="B205" i="14"/>
  <c r="C205" i="14"/>
  <c r="E205" i="14"/>
  <c r="F205" i="14"/>
  <c r="G205" i="14"/>
  <c r="B206" i="14"/>
  <c r="C206" i="14"/>
  <c r="E206" i="14"/>
  <c r="F206" i="14"/>
  <c r="G206" i="14"/>
  <c r="I178" i="14"/>
  <c r="I179" i="14"/>
  <c r="I180" i="14"/>
  <c r="I181" i="14"/>
  <c r="I182" i="14"/>
  <c r="I183" i="14"/>
  <c r="I184" i="14"/>
  <c r="I185" i="14"/>
  <c r="I186" i="14"/>
  <c r="I187" i="14"/>
  <c r="I188" i="14"/>
  <c r="I189" i="14"/>
  <c r="H178" i="14"/>
  <c r="H179" i="14"/>
  <c r="H180" i="14"/>
  <c r="H181" i="14"/>
  <c r="H182" i="14"/>
  <c r="H183" i="14"/>
  <c r="H184" i="14"/>
  <c r="H185" i="14"/>
  <c r="H186" i="14"/>
  <c r="H187" i="14"/>
  <c r="H188" i="14"/>
  <c r="H189" i="14"/>
  <c r="G178" i="14"/>
  <c r="G179" i="14"/>
  <c r="G180" i="14"/>
  <c r="G181" i="14"/>
  <c r="G182" i="14"/>
  <c r="G183" i="14"/>
  <c r="G184" i="14"/>
  <c r="G185" i="14"/>
  <c r="G186" i="14"/>
  <c r="G187" i="14"/>
  <c r="G188" i="14"/>
  <c r="G189" i="14"/>
  <c r="F178" i="14"/>
  <c r="F179" i="14"/>
  <c r="F180" i="14"/>
  <c r="F181" i="14"/>
  <c r="F182" i="14"/>
  <c r="F183" i="14"/>
  <c r="F184" i="14"/>
  <c r="F185" i="14"/>
  <c r="F186" i="14"/>
  <c r="F187" i="14"/>
  <c r="F188" i="14"/>
  <c r="E178" i="14"/>
  <c r="E179" i="14"/>
  <c r="E180" i="14"/>
  <c r="E181" i="14"/>
  <c r="E182" i="14"/>
  <c r="E183" i="14"/>
  <c r="E184" i="14"/>
  <c r="E185" i="14"/>
  <c r="E186" i="14"/>
  <c r="E187" i="14"/>
  <c r="E188" i="14"/>
  <c r="C188" i="14"/>
  <c r="B188" i="14"/>
  <c r="C187" i="14"/>
  <c r="B187" i="14"/>
  <c r="C186" i="14"/>
  <c r="B186" i="14"/>
  <c r="C185" i="14"/>
  <c r="B185" i="14"/>
  <c r="C184" i="14"/>
  <c r="B184" i="14"/>
  <c r="C183" i="14"/>
  <c r="B183" i="14"/>
  <c r="C182" i="14"/>
  <c r="B182" i="14"/>
  <c r="C181" i="14"/>
  <c r="B181" i="14"/>
  <c r="C180" i="14"/>
  <c r="B180" i="14"/>
  <c r="C179" i="14"/>
  <c r="B179" i="14"/>
  <c r="C178" i="14"/>
  <c r="B178" i="14"/>
  <c r="I163" i="14"/>
  <c r="I164" i="14"/>
  <c r="I166" i="14"/>
  <c r="I167" i="14"/>
  <c r="I168" i="14"/>
  <c r="I169" i="14"/>
  <c r="I170" i="14"/>
  <c r="I171" i="14"/>
  <c r="I172" i="14"/>
  <c r="I173" i="14"/>
  <c r="I174" i="14"/>
  <c r="H163" i="14"/>
  <c r="H164" i="14"/>
  <c r="H166" i="14"/>
  <c r="H167" i="14"/>
  <c r="H168" i="14"/>
  <c r="H169" i="14"/>
  <c r="H170" i="14"/>
  <c r="H171" i="14"/>
  <c r="H172" i="14"/>
  <c r="H173" i="14"/>
  <c r="H174" i="14"/>
  <c r="G163" i="14"/>
  <c r="G164" i="14"/>
  <c r="G166" i="14"/>
  <c r="G167" i="14"/>
  <c r="G168" i="14"/>
  <c r="G169" i="14"/>
  <c r="G170" i="14"/>
  <c r="G171" i="14"/>
  <c r="G172" i="14"/>
  <c r="G173" i="14"/>
  <c r="G174" i="14"/>
  <c r="F163" i="14"/>
  <c r="F164" i="14"/>
  <c r="F166" i="14"/>
  <c r="F167" i="14"/>
  <c r="F168" i="14"/>
  <c r="F169" i="14"/>
  <c r="F170" i="14"/>
  <c r="F171" i="14"/>
  <c r="F172" i="14"/>
  <c r="F173" i="14"/>
  <c r="E163" i="14"/>
  <c r="E164" i="14"/>
  <c r="E166" i="14"/>
  <c r="E167" i="14"/>
  <c r="E168" i="14"/>
  <c r="E169" i="14"/>
  <c r="E170" i="14"/>
  <c r="E171" i="14"/>
  <c r="E172" i="14"/>
  <c r="E173" i="14"/>
  <c r="C173" i="14"/>
  <c r="B173" i="14"/>
  <c r="C172" i="14"/>
  <c r="B172" i="14"/>
  <c r="C171" i="14"/>
  <c r="B171" i="14"/>
  <c r="C170" i="14"/>
  <c r="B170" i="14"/>
  <c r="C169" i="14"/>
  <c r="B169" i="14"/>
  <c r="C168" i="14"/>
  <c r="B168" i="14"/>
  <c r="C167" i="14"/>
  <c r="B167" i="14"/>
  <c r="C166" i="14"/>
  <c r="B166" i="14"/>
  <c r="C164" i="14"/>
  <c r="B164" i="14"/>
  <c r="C163" i="14"/>
  <c r="B163" i="14"/>
  <c r="I152" i="14"/>
  <c r="I153" i="14"/>
  <c r="I154" i="14"/>
  <c r="I155" i="14"/>
  <c r="I156" i="14"/>
  <c r="I157" i="14"/>
  <c r="I158" i="14"/>
  <c r="I159" i="14"/>
  <c r="H152" i="14"/>
  <c r="H153" i="14"/>
  <c r="H154" i="14"/>
  <c r="H155" i="14"/>
  <c r="H156" i="14"/>
  <c r="H157" i="14"/>
  <c r="H158" i="14"/>
  <c r="G152" i="14"/>
  <c r="G153" i="14"/>
  <c r="G154" i="14"/>
  <c r="G155" i="14"/>
  <c r="G156" i="14"/>
  <c r="G157" i="14"/>
  <c r="G158" i="14"/>
  <c r="G159" i="14"/>
  <c r="F152" i="14"/>
  <c r="F153" i="14"/>
  <c r="F154" i="14"/>
  <c r="F155" i="14"/>
  <c r="F156" i="14"/>
  <c r="F157" i="14"/>
  <c r="F158" i="14"/>
  <c r="E152" i="14"/>
  <c r="E153" i="14"/>
  <c r="E154" i="14"/>
  <c r="E155" i="14"/>
  <c r="E156" i="14"/>
  <c r="E157" i="14"/>
  <c r="E158" i="14"/>
  <c r="C158" i="14"/>
  <c r="B158" i="14"/>
  <c r="C157" i="14"/>
  <c r="B157" i="14"/>
  <c r="C156" i="14"/>
  <c r="B156" i="14"/>
  <c r="C155" i="14"/>
  <c r="B155" i="14"/>
  <c r="C154" i="14"/>
  <c r="B154" i="14"/>
  <c r="C153" i="14"/>
  <c r="B153" i="14"/>
  <c r="C152" i="14"/>
  <c r="B152" i="14"/>
  <c r="I137" i="14"/>
  <c r="I138" i="14"/>
  <c r="I139" i="14"/>
  <c r="I140" i="14"/>
  <c r="I141" i="14"/>
  <c r="I142" i="14"/>
  <c r="I143" i="14"/>
  <c r="I144" i="14"/>
  <c r="I145" i="14"/>
  <c r="I146" i="14"/>
  <c r="I147" i="14"/>
  <c r="I148" i="14"/>
  <c r="H137" i="14"/>
  <c r="H138" i="14"/>
  <c r="H139" i="14"/>
  <c r="H140" i="14"/>
  <c r="H141" i="14"/>
  <c r="H142" i="14"/>
  <c r="H143" i="14"/>
  <c r="H144" i="14"/>
  <c r="H145" i="14"/>
  <c r="H146" i="14"/>
  <c r="H147" i="14"/>
  <c r="H148" i="14"/>
  <c r="G137" i="14"/>
  <c r="G138" i="14"/>
  <c r="G139" i="14"/>
  <c r="G140" i="14"/>
  <c r="G141" i="14"/>
  <c r="G142" i="14"/>
  <c r="G143" i="14"/>
  <c r="G144" i="14"/>
  <c r="G145" i="14"/>
  <c r="G146" i="14"/>
  <c r="G147" i="14"/>
  <c r="F137" i="14"/>
  <c r="F138" i="14"/>
  <c r="F139" i="14"/>
  <c r="F140" i="14"/>
  <c r="F141" i="14"/>
  <c r="F142" i="14"/>
  <c r="F143" i="14"/>
  <c r="F144" i="14"/>
  <c r="F145" i="14"/>
  <c r="F146" i="14"/>
  <c r="F147" i="14"/>
  <c r="E137" i="14"/>
  <c r="E138" i="14"/>
  <c r="E139" i="14"/>
  <c r="E140" i="14"/>
  <c r="E141" i="14"/>
  <c r="E142" i="14"/>
  <c r="E143" i="14"/>
  <c r="E144" i="14"/>
  <c r="E145" i="14"/>
  <c r="E146" i="14"/>
  <c r="E147" i="14"/>
  <c r="C147" i="14"/>
  <c r="B147" i="14"/>
  <c r="C146" i="14"/>
  <c r="B146" i="14"/>
  <c r="C145" i="14"/>
  <c r="B145" i="14"/>
  <c r="C144" i="14"/>
  <c r="B144" i="14"/>
  <c r="C143" i="14"/>
  <c r="B143" i="14"/>
  <c r="C142" i="14"/>
  <c r="B142" i="14"/>
  <c r="C141" i="14"/>
  <c r="B141" i="14"/>
  <c r="C140" i="14"/>
  <c r="B140" i="14"/>
  <c r="C139" i="14"/>
  <c r="B139" i="14"/>
  <c r="C138" i="14"/>
  <c r="B138" i="14"/>
  <c r="C137" i="14"/>
  <c r="B137" i="14"/>
  <c r="I115" i="14"/>
  <c r="I116" i="14"/>
  <c r="I117" i="14"/>
  <c r="I118" i="14"/>
  <c r="I119" i="14"/>
  <c r="I120" i="14"/>
  <c r="I121" i="14"/>
  <c r="I122" i="14"/>
  <c r="I123" i="14"/>
  <c r="I124" i="14"/>
  <c r="I125" i="14"/>
  <c r="I126" i="14"/>
  <c r="I127" i="14"/>
  <c r="I128" i="14"/>
  <c r="I129" i="14"/>
  <c r="I130" i="14"/>
  <c r="I131" i="14"/>
  <c r="I132" i="14"/>
  <c r="I133" i="14"/>
  <c r="H115" i="14"/>
  <c r="H116" i="14"/>
  <c r="H117" i="14"/>
  <c r="H118" i="14"/>
  <c r="H119" i="14"/>
  <c r="H120" i="14"/>
  <c r="H121" i="14"/>
  <c r="H122" i="14"/>
  <c r="H123" i="14"/>
  <c r="H124" i="14"/>
  <c r="H125" i="14"/>
  <c r="H126" i="14"/>
  <c r="H127" i="14"/>
  <c r="H128" i="14"/>
  <c r="H129" i="14"/>
  <c r="H130" i="14"/>
  <c r="H131" i="14"/>
  <c r="H132" i="14"/>
  <c r="H133" i="14"/>
  <c r="G115" i="14"/>
  <c r="G116" i="14"/>
  <c r="G117" i="14"/>
  <c r="G118" i="14"/>
  <c r="G119" i="14"/>
  <c r="G120" i="14"/>
  <c r="G121" i="14"/>
  <c r="G122" i="14"/>
  <c r="G123" i="14"/>
  <c r="G124" i="14"/>
  <c r="G125" i="14"/>
  <c r="G126" i="14"/>
  <c r="G127" i="14"/>
  <c r="G128" i="14"/>
  <c r="G129" i="14"/>
  <c r="G130" i="14"/>
  <c r="G131" i="14"/>
  <c r="G132" i="14"/>
  <c r="G133" i="14"/>
  <c r="F115" i="14"/>
  <c r="F116" i="14"/>
  <c r="F117" i="14"/>
  <c r="F118" i="14"/>
  <c r="F119" i="14"/>
  <c r="F120" i="14"/>
  <c r="F121" i="14"/>
  <c r="F122" i="14"/>
  <c r="F123" i="14"/>
  <c r="F124" i="14"/>
  <c r="F125" i="14"/>
  <c r="F126" i="14"/>
  <c r="F127" i="14"/>
  <c r="F128" i="14"/>
  <c r="F129" i="14"/>
  <c r="F130" i="14"/>
  <c r="F131" i="14"/>
  <c r="F132" i="14"/>
  <c r="E115" i="14"/>
  <c r="E116" i="14"/>
  <c r="E117" i="14"/>
  <c r="E118" i="14"/>
  <c r="E119" i="14"/>
  <c r="E120" i="14"/>
  <c r="E121" i="14"/>
  <c r="E122" i="14"/>
  <c r="E123" i="14"/>
  <c r="E124" i="14"/>
  <c r="E125" i="14"/>
  <c r="E126" i="14"/>
  <c r="E127" i="14"/>
  <c r="E128" i="14"/>
  <c r="E129" i="14"/>
  <c r="E130" i="14"/>
  <c r="E131" i="14"/>
  <c r="E132" i="14"/>
  <c r="C132" i="14"/>
  <c r="B132" i="14"/>
  <c r="C131" i="14"/>
  <c r="B131" i="14"/>
  <c r="C130" i="14"/>
  <c r="B130" i="14"/>
  <c r="C129" i="14"/>
  <c r="B129" i="14"/>
  <c r="C128" i="14"/>
  <c r="B128" i="14"/>
  <c r="C127" i="14"/>
  <c r="B127" i="14"/>
  <c r="C126" i="14"/>
  <c r="B126" i="14"/>
  <c r="C125" i="14"/>
  <c r="B125" i="14"/>
  <c r="C124" i="14"/>
  <c r="B124" i="14"/>
  <c r="C123" i="14"/>
  <c r="B123" i="14"/>
  <c r="C122" i="14"/>
  <c r="B122" i="14"/>
  <c r="C121" i="14"/>
  <c r="B121" i="14"/>
  <c r="C120" i="14"/>
  <c r="B120" i="14"/>
  <c r="C119" i="14"/>
  <c r="B119" i="14"/>
  <c r="C118" i="14"/>
  <c r="B118" i="14"/>
  <c r="C117" i="14"/>
  <c r="B117" i="14"/>
  <c r="C116" i="14"/>
  <c r="B116" i="14"/>
  <c r="C115" i="14"/>
  <c r="B115" i="14"/>
  <c r="I95" i="14"/>
  <c r="I96" i="14"/>
  <c r="I97" i="14"/>
  <c r="I98" i="14"/>
  <c r="I99" i="14"/>
  <c r="I100" i="14"/>
  <c r="I101" i="14"/>
  <c r="I102" i="14"/>
  <c r="I103" i="14"/>
  <c r="I104" i="14"/>
  <c r="I107" i="14"/>
  <c r="I108" i="14"/>
  <c r="I110" i="14"/>
  <c r="H95" i="14"/>
  <c r="H96" i="14"/>
  <c r="H97" i="14"/>
  <c r="H98" i="14"/>
  <c r="H99" i="14"/>
  <c r="H100" i="14"/>
  <c r="H101" i="14"/>
  <c r="H102" i="14"/>
  <c r="H103" i="14"/>
  <c r="H104" i="14"/>
  <c r="H107" i="14"/>
  <c r="H108" i="14"/>
  <c r="H110" i="14"/>
  <c r="G95" i="14"/>
  <c r="G96" i="14"/>
  <c r="G97" i="14"/>
  <c r="G98" i="14"/>
  <c r="G99" i="14"/>
  <c r="G100" i="14"/>
  <c r="G101" i="14"/>
  <c r="G102" i="14"/>
  <c r="G103" i="14"/>
  <c r="G104" i="14"/>
  <c r="G107" i="14"/>
  <c r="G108" i="14"/>
  <c r="G110" i="14"/>
  <c r="G111" i="14"/>
  <c r="F95" i="14"/>
  <c r="F96" i="14"/>
  <c r="F97" i="14"/>
  <c r="F98" i="14"/>
  <c r="F99" i="14"/>
  <c r="F100" i="14"/>
  <c r="F101" i="14"/>
  <c r="F102" i="14"/>
  <c r="F103" i="14"/>
  <c r="F104" i="14"/>
  <c r="F107" i="14"/>
  <c r="F108" i="14"/>
  <c r="F110" i="14"/>
  <c r="E95" i="14"/>
  <c r="E96" i="14"/>
  <c r="E97" i="14"/>
  <c r="E98" i="14"/>
  <c r="E99" i="14"/>
  <c r="E100" i="14"/>
  <c r="E101" i="14"/>
  <c r="E102" i="14"/>
  <c r="E103" i="14"/>
  <c r="E104" i="14"/>
  <c r="E107" i="14"/>
  <c r="E108" i="14"/>
  <c r="E110" i="14"/>
  <c r="C110" i="14"/>
  <c r="B110" i="14"/>
  <c r="C108" i="14"/>
  <c r="B108" i="14"/>
  <c r="C107" i="14"/>
  <c r="B107" i="14"/>
  <c r="C104" i="14"/>
  <c r="B104" i="14"/>
  <c r="C103" i="14"/>
  <c r="B103" i="14"/>
  <c r="C102" i="14"/>
  <c r="B102" i="14"/>
  <c r="C101" i="14"/>
  <c r="B101" i="14"/>
  <c r="C100" i="14"/>
  <c r="B100" i="14"/>
  <c r="C99" i="14"/>
  <c r="B99" i="14"/>
  <c r="C98" i="14"/>
  <c r="B98" i="14"/>
  <c r="C97" i="14"/>
  <c r="B97" i="14"/>
  <c r="C96" i="14"/>
  <c r="B96" i="14"/>
  <c r="C95" i="14"/>
  <c r="B95" i="14"/>
  <c r="I81" i="14"/>
  <c r="I82" i="14"/>
  <c r="I83" i="14"/>
  <c r="I84" i="14"/>
  <c r="I85" i="14"/>
  <c r="I86" i="14"/>
  <c r="I87" i="14"/>
  <c r="I88" i="14"/>
  <c r="I89" i="14"/>
  <c r="I90" i="14"/>
  <c r="H81" i="14"/>
  <c r="H82" i="14"/>
  <c r="H83" i="14"/>
  <c r="H84" i="14"/>
  <c r="H85" i="14"/>
  <c r="H86" i="14"/>
  <c r="H87" i="14"/>
  <c r="H88" i="14"/>
  <c r="H89" i="14"/>
  <c r="H90" i="14"/>
  <c r="H91" i="14"/>
  <c r="G81" i="14"/>
  <c r="G82" i="14"/>
  <c r="G83" i="14"/>
  <c r="G84" i="14"/>
  <c r="G85" i="14"/>
  <c r="G86" i="14"/>
  <c r="G87" i="14"/>
  <c r="G88" i="14"/>
  <c r="G89" i="14"/>
  <c r="G90" i="14"/>
  <c r="G91" i="14"/>
  <c r="F81" i="14"/>
  <c r="F82" i="14"/>
  <c r="F83" i="14"/>
  <c r="F84" i="14"/>
  <c r="F85" i="14"/>
  <c r="F86" i="14"/>
  <c r="F87" i="14"/>
  <c r="F88" i="14"/>
  <c r="F89" i="14"/>
  <c r="F90" i="14"/>
  <c r="E81" i="14"/>
  <c r="E82" i="14"/>
  <c r="E83" i="14"/>
  <c r="E84" i="14"/>
  <c r="E85" i="14"/>
  <c r="E86" i="14"/>
  <c r="E87" i="14"/>
  <c r="E88" i="14"/>
  <c r="E89" i="14"/>
  <c r="E90" i="14"/>
  <c r="E91" i="14"/>
  <c r="C90" i="14"/>
  <c r="B90" i="14"/>
  <c r="C89" i="14"/>
  <c r="B89" i="14"/>
  <c r="C88" i="14"/>
  <c r="B88" i="14"/>
  <c r="C87" i="14"/>
  <c r="B87" i="14"/>
  <c r="C86" i="14"/>
  <c r="B86" i="14"/>
  <c r="C85" i="14"/>
  <c r="B85" i="14"/>
  <c r="C84" i="14"/>
  <c r="B84" i="14"/>
  <c r="C83" i="14"/>
  <c r="B83" i="14"/>
  <c r="C82" i="14"/>
  <c r="B82" i="14"/>
  <c r="C81" i="14"/>
  <c r="B81" i="14"/>
  <c r="B72" i="14"/>
  <c r="C72" i="14"/>
  <c r="E72" i="14"/>
  <c r="F72" i="14"/>
  <c r="G72" i="14"/>
  <c r="H72" i="14"/>
  <c r="H71" i="14"/>
  <c r="H73" i="14"/>
  <c r="H74" i="14"/>
  <c r="H75" i="14"/>
  <c r="H76" i="14"/>
  <c r="H77" i="14"/>
  <c r="I72" i="14"/>
  <c r="I71" i="14"/>
  <c r="I73" i="14"/>
  <c r="I74" i="14"/>
  <c r="I75" i="14"/>
  <c r="I76" i="14"/>
  <c r="I77" i="14"/>
  <c r="G71" i="14"/>
  <c r="G73" i="14"/>
  <c r="G74" i="14"/>
  <c r="G75" i="14"/>
  <c r="G76" i="14"/>
  <c r="G77" i="14"/>
  <c r="F71" i="14"/>
  <c r="F73" i="14"/>
  <c r="F74" i="14"/>
  <c r="F75" i="14"/>
  <c r="F76" i="14"/>
  <c r="F77" i="14"/>
  <c r="E71" i="14"/>
  <c r="E73" i="14"/>
  <c r="E74" i="14"/>
  <c r="E75" i="14"/>
  <c r="E76" i="14"/>
  <c r="E77" i="14"/>
  <c r="C76" i="14"/>
  <c r="B76" i="14"/>
  <c r="C75" i="14"/>
  <c r="B75" i="14"/>
  <c r="C74" i="14"/>
  <c r="B74" i="14"/>
  <c r="C73" i="14"/>
  <c r="B73" i="14"/>
  <c r="C71" i="14"/>
  <c r="B71" i="14"/>
  <c r="I55" i="14"/>
  <c r="I56" i="14"/>
  <c r="I57" i="14"/>
  <c r="I58" i="14"/>
  <c r="I59" i="14"/>
  <c r="I60" i="14"/>
  <c r="I62" i="14"/>
  <c r="I63" i="14"/>
  <c r="I65" i="14"/>
  <c r="I66" i="14"/>
  <c r="I67" i="14"/>
  <c r="H55" i="14"/>
  <c r="H56" i="14"/>
  <c r="H57" i="14"/>
  <c r="H58" i="14"/>
  <c r="H59" i="14"/>
  <c r="H60" i="14"/>
  <c r="H62" i="14"/>
  <c r="H63" i="14"/>
  <c r="H65" i="14"/>
  <c r="H66" i="14"/>
  <c r="H67" i="14"/>
  <c r="G55" i="14"/>
  <c r="G56" i="14"/>
  <c r="G57" i="14"/>
  <c r="G58" i="14"/>
  <c r="G59" i="14"/>
  <c r="G60" i="14"/>
  <c r="G62" i="14"/>
  <c r="G63" i="14"/>
  <c r="G65" i="14"/>
  <c r="G66" i="14"/>
  <c r="F55" i="14"/>
  <c r="F56" i="14"/>
  <c r="F57" i="14"/>
  <c r="F58" i="14"/>
  <c r="F59" i="14"/>
  <c r="F60" i="14"/>
  <c r="F62" i="14"/>
  <c r="F63" i="14"/>
  <c r="F65" i="14"/>
  <c r="F66" i="14"/>
  <c r="E55" i="14"/>
  <c r="E56" i="14"/>
  <c r="E57" i="14"/>
  <c r="E58" i="14"/>
  <c r="E59" i="14"/>
  <c r="E60" i="14"/>
  <c r="E62" i="14"/>
  <c r="E63" i="14"/>
  <c r="E65" i="14"/>
  <c r="E66" i="14"/>
  <c r="C66" i="14"/>
  <c r="B66" i="14"/>
  <c r="C65" i="14"/>
  <c r="B65" i="14"/>
  <c r="C63" i="14"/>
  <c r="C62" i="14"/>
  <c r="B62" i="14"/>
  <c r="C60" i="14"/>
  <c r="B60" i="14"/>
  <c r="C59" i="14"/>
  <c r="B59" i="14"/>
  <c r="C58" i="14"/>
  <c r="B58" i="14"/>
  <c r="C57" i="14"/>
  <c r="B57" i="14"/>
  <c r="C56" i="14"/>
  <c r="B56" i="14"/>
  <c r="C55" i="14"/>
  <c r="B55" i="14"/>
  <c r="B47" i="14"/>
  <c r="C47" i="14"/>
  <c r="E47" i="14"/>
  <c r="F47" i="14"/>
  <c r="G47" i="14"/>
  <c r="H47" i="14"/>
  <c r="I47" i="14"/>
  <c r="B48" i="14"/>
  <c r="C48" i="14"/>
  <c r="E48" i="14"/>
  <c r="F48" i="14"/>
  <c r="G48" i="14"/>
  <c r="H48" i="14"/>
  <c r="I48" i="14"/>
  <c r="B49" i="14"/>
  <c r="C49" i="14"/>
  <c r="E49" i="14"/>
  <c r="F49" i="14"/>
  <c r="G49" i="14"/>
  <c r="H49" i="14"/>
  <c r="I49" i="14"/>
  <c r="B50" i="14"/>
  <c r="C50" i="14"/>
  <c r="I40" i="14"/>
  <c r="I41" i="14"/>
  <c r="I42" i="14"/>
  <c r="I43" i="14"/>
  <c r="I44" i="14"/>
  <c r="I45" i="14"/>
  <c r="I46" i="14"/>
  <c r="I51" i="14"/>
  <c r="H40" i="14"/>
  <c r="H41" i="14"/>
  <c r="H42" i="14"/>
  <c r="H43" i="14"/>
  <c r="H44" i="14"/>
  <c r="H45" i="14"/>
  <c r="H46" i="14"/>
  <c r="G40" i="14"/>
  <c r="G41" i="14"/>
  <c r="G42" i="14"/>
  <c r="G43" i="14"/>
  <c r="G44" i="14"/>
  <c r="G45" i="14"/>
  <c r="G46" i="14"/>
  <c r="G51" i="14"/>
  <c r="F40" i="14"/>
  <c r="F41" i="14"/>
  <c r="F42" i="14"/>
  <c r="F43" i="14"/>
  <c r="F44" i="14"/>
  <c r="F45" i="14"/>
  <c r="F46" i="14"/>
  <c r="E40" i="14"/>
  <c r="E41" i="14"/>
  <c r="E42" i="14"/>
  <c r="E43" i="14"/>
  <c r="E44" i="14"/>
  <c r="E45" i="14"/>
  <c r="E46" i="14"/>
  <c r="C46" i="14"/>
  <c r="B46" i="14"/>
  <c r="C45" i="14"/>
  <c r="B45" i="14"/>
  <c r="C44" i="14"/>
  <c r="B44" i="14"/>
  <c r="C43" i="14"/>
  <c r="B43" i="14"/>
  <c r="C42" i="14"/>
  <c r="B42" i="14"/>
  <c r="C41" i="14"/>
  <c r="B41" i="14"/>
  <c r="C40" i="14"/>
  <c r="B40" i="14"/>
  <c r="I30" i="14"/>
  <c r="I31" i="14"/>
  <c r="I33" i="14"/>
  <c r="I34" i="14"/>
  <c r="I35" i="14"/>
  <c r="I36" i="14"/>
  <c r="H30" i="14"/>
  <c r="H31" i="14"/>
  <c r="H33" i="14"/>
  <c r="H34" i="14"/>
  <c r="H35" i="14"/>
  <c r="G30" i="14"/>
  <c r="G31" i="14"/>
  <c r="G33" i="14"/>
  <c r="G34" i="14"/>
  <c r="G35" i="14"/>
  <c r="G36" i="14"/>
  <c r="F30" i="14"/>
  <c r="F31" i="14"/>
  <c r="F33" i="14"/>
  <c r="F34" i="14"/>
  <c r="F35" i="14"/>
  <c r="E30" i="14"/>
  <c r="E31" i="14"/>
  <c r="E33" i="14"/>
  <c r="E34" i="14"/>
  <c r="E35" i="14"/>
  <c r="C35" i="14"/>
  <c r="B35" i="14"/>
  <c r="C34" i="14"/>
  <c r="B34" i="14"/>
  <c r="C33" i="14"/>
  <c r="B33" i="14"/>
  <c r="C31" i="14"/>
  <c r="B31" i="14"/>
  <c r="C30" i="14"/>
  <c r="B30" i="14"/>
  <c r="I21" i="14"/>
  <c r="I22" i="14"/>
  <c r="I23" i="14"/>
  <c r="I24" i="14"/>
  <c r="I25" i="14"/>
  <c r="H21" i="14"/>
  <c r="H22" i="14"/>
  <c r="H23" i="14"/>
  <c r="H24" i="14"/>
  <c r="H25" i="14"/>
  <c r="H26" i="14"/>
  <c r="G21" i="14"/>
  <c r="G22" i="14"/>
  <c r="G23" i="14"/>
  <c r="G24" i="14"/>
  <c r="G25" i="14"/>
  <c r="F21" i="14"/>
  <c r="F22" i="14"/>
  <c r="F23" i="14"/>
  <c r="F24" i="14"/>
  <c r="F25" i="14"/>
  <c r="E21" i="14"/>
  <c r="E22" i="14"/>
  <c r="E23" i="14"/>
  <c r="E24" i="14"/>
  <c r="E25" i="14"/>
  <c r="C25" i="14"/>
  <c r="B25" i="14"/>
  <c r="C24" i="14"/>
  <c r="B24" i="14"/>
  <c r="C23" i="14"/>
  <c r="B23" i="14"/>
  <c r="C22" i="14"/>
  <c r="B22" i="14"/>
  <c r="C21" i="14"/>
  <c r="B21" i="14"/>
  <c r="E14" i="14"/>
  <c r="E15" i="14"/>
  <c r="E16" i="14"/>
  <c r="F14" i="14"/>
  <c r="F15" i="14"/>
  <c r="F16" i="14"/>
  <c r="G14" i="14"/>
  <c r="G15" i="14"/>
  <c r="G16" i="14"/>
  <c r="H14" i="14"/>
  <c r="H15" i="14"/>
  <c r="H16" i="14"/>
  <c r="I14" i="14"/>
  <c r="I15" i="14"/>
  <c r="I16" i="14"/>
  <c r="B15" i="14"/>
  <c r="C15" i="14"/>
  <c r="B16" i="14"/>
  <c r="C16" i="14"/>
  <c r="C14" i="14"/>
  <c r="B14" i="14"/>
  <c r="E3" i="14"/>
  <c r="E4" i="14"/>
  <c r="E5" i="14"/>
  <c r="E6" i="14"/>
  <c r="E7" i="14"/>
  <c r="E8" i="14"/>
  <c r="E9" i="14"/>
  <c r="F3" i="14"/>
  <c r="F4" i="14"/>
  <c r="F5" i="14"/>
  <c r="F6" i="14"/>
  <c r="F7" i="14"/>
  <c r="F8" i="14"/>
  <c r="F9" i="14"/>
  <c r="F10" i="14"/>
  <c r="G3" i="14"/>
  <c r="G4" i="14"/>
  <c r="G5" i="14"/>
  <c r="G6" i="14"/>
  <c r="G7" i="14"/>
  <c r="G8" i="14"/>
  <c r="G9" i="14"/>
  <c r="G10" i="14"/>
  <c r="H3" i="14"/>
  <c r="H4" i="14"/>
  <c r="H5" i="14"/>
  <c r="H6" i="14"/>
  <c r="H7" i="14"/>
  <c r="H8" i="14"/>
  <c r="H9" i="14"/>
  <c r="H10" i="14"/>
  <c r="I3" i="14"/>
  <c r="I4" i="14"/>
  <c r="I5" i="14"/>
  <c r="I6" i="14"/>
  <c r="I7" i="14"/>
  <c r="I8" i="14"/>
  <c r="I9" i="14"/>
  <c r="I10" i="14"/>
  <c r="B4" i="14"/>
  <c r="C4" i="14"/>
  <c r="B5" i="14"/>
  <c r="C5" i="14"/>
  <c r="B6" i="14"/>
  <c r="C6" i="14"/>
  <c r="B7" i="14"/>
  <c r="C7" i="14"/>
  <c r="B8" i="14"/>
  <c r="C8" i="14"/>
  <c r="B9" i="14"/>
  <c r="C9" i="14"/>
  <c r="C3" i="14"/>
  <c r="B3" i="14"/>
  <c r="BX5" i="5"/>
  <c r="BX6" i="5"/>
  <c r="BX7" i="5"/>
  <c r="BX8" i="5"/>
  <c r="BX9" i="5"/>
  <c r="BX10" i="5"/>
  <c r="BX11" i="5"/>
  <c r="BX16" i="5"/>
  <c r="BX17" i="5"/>
  <c r="BX18" i="5"/>
  <c r="BX20" i="5"/>
  <c r="BX21" i="5"/>
  <c r="BX22" i="5"/>
  <c r="BX27" i="5"/>
  <c r="BX28" i="5"/>
  <c r="BX32" i="5"/>
  <c r="BX33" i="5"/>
  <c r="BX34" i="5"/>
  <c r="BX35" i="5"/>
  <c r="BX36" i="5"/>
  <c r="BX37" i="5"/>
  <c r="BX39" i="5"/>
  <c r="BX43" i="5"/>
  <c r="BX44" i="5"/>
  <c r="BX57" i="5"/>
  <c r="BX75" i="5"/>
  <c r="BX76" i="5"/>
  <c r="BX77" i="5"/>
  <c r="BX78" i="5"/>
  <c r="BX79" i="5"/>
  <c r="BX80" i="5"/>
  <c r="BX88" i="5"/>
  <c r="BX89" i="5"/>
  <c r="BX91" i="5"/>
  <c r="BX92" i="5"/>
  <c r="BX97" i="5"/>
  <c r="BX99" i="5"/>
  <c r="K96" i="13"/>
  <c r="J96" i="13"/>
  <c r="I96" i="13"/>
  <c r="H96" i="13"/>
  <c r="G96" i="13"/>
  <c r="F96" i="13"/>
  <c r="F85" i="13"/>
  <c r="K85" i="13"/>
  <c r="J85" i="13"/>
  <c r="J98" i="13"/>
  <c r="I85" i="13"/>
  <c r="H85" i="13"/>
  <c r="G85" i="13"/>
  <c r="G75" i="13"/>
  <c r="H75" i="13"/>
  <c r="I75" i="13"/>
  <c r="J75" i="13"/>
  <c r="K75" i="13"/>
  <c r="F75" i="13"/>
  <c r="G64" i="13"/>
  <c r="H64" i="13"/>
  <c r="I64" i="13"/>
  <c r="J64" i="13"/>
  <c r="K64" i="13"/>
  <c r="F64" i="13"/>
  <c r="BX45" i="5"/>
  <c r="BX49" i="5"/>
  <c r="BX50" i="5"/>
  <c r="BX51" i="5"/>
  <c r="BX55" i="5"/>
  <c r="BX59" i="5"/>
  <c r="BX62" i="5"/>
  <c r="BX64" i="5"/>
  <c r="BX67" i="5"/>
  <c r="M95" i="13"/>
  <c r="N95" i="13"/>
  <c r="M84" i="13"/>
  <c r="N84" i="13"/>
  <c r="E73" i="13"/>
  <c r="M73" i="13"/>
  <c r="N73" i="13"/>
  <c r="C89" i="13"/>
  <c r="B90" i="13"/>
  <c r="C90" i="13"/>
  <c r="B91" i="13"/>
  <c r="C91" i="13"/>
  <c r="B92" i="13"/>
  <c r="C92" i="13"/>
  <c r="B93" i="13"/>
  <c r="C93" i="13"/>
  <c r="B94" i="13"/>
  <c r="C94" i="13"/>
  <c r="B95" i="13"/>
  <c r="C95" i="13"/>
  <c r="C78" i="13"/>
  <c r="B79" i="13"/>
  <c r="C79" i="13"/>
  <c r="B80" i="13"/>
  <c r="C80" i="13"/>
  <c r="B81" i="13"/>
  <c r="C81" i="13"/>
  <c r="B82" i="13"/>
  <c r="C82" i="13"/>
  <c r="B83" i="13"/>
  <c r="C83" i="13"/>
  <c r="B84" i="13"/>
  <c r="C84" i="13"/>
  <c r="C57" i="13"/>
  <c r="B58" i="13"/>
  <c r="C58" i="13"/>
  <c r="B59" i="13"/>
  <c r="C59" i="13"/>
  <c r="B60" i="13"/>
  <c r="C60" i="13"/>
  <c r="B61" i="13"/>
  <c r="C61" i="13"/>
  <c r="B62" i="13"/>
  <c r="C62" i="13"/>
  <c r="B63" i="13"/>
  <c r="C63" i="13"/>
  <c r="M24" i="13"/>
  <c r="M26" i="13"/>
  <c r="B42" i="13"/>
  <c r="D42" i="13"/>
  <c r="B41" i="13"/>
  <c r="D41" i="13"/>
  <c r="D40" i="13"/>
  <c r="M43" i="13"/>
  <c r="M12" i="13"/>
  <c r="BX95" i="5"/>
  <c r="BX94" i="5"/>
  <c r="BX82" i="5"/>
  <c r="BX70" i="5"/>
  <c r="BX69" i="5"/>
  <c r="BX65" i="5"/>
  <c r="BX60" i="5"/>
  <c r="BX58" i="5"/>
  <c r="BX48" i="5"/>
  <c r="BX40" i="5"/>
  <c r="H43" i="13"/>
  <c r="H49" i="13"/>
  <c r="I49" i="13"/>
  <c r="J43" i="13"/>
  <c r="J49" i="13"/>
  <c r="K43" i="13"/>
  <c r="K49" i="13"/>
  <c r="G43" i="13"/>
  <c r="G49" i="13"/>
  <c r="H26" i="13"/>
  <c r="H48" i="13"/>
  <c r="I26" i="13"/>
  <c r="I48" i="13"/>
  <c r="J26" i="13"/>
  <c r="J48" i="13"/>
  <c r="K26" i="13"/>
  <c r="K48" i="13"/>
  <c r="G26" i="13"/>
  <c r="G48" i="13"/>
  <c r="H12" i="13"/>
  <c r="H47" i="13"/>
  <c r="I12" i="13"/>
  <c r="I47" i="13"/>
  <c r="J12" i="13"/>
  <c r="J47" i="13"/>
  <c r="K12" i="13"/>
  <c r="K47" i="13"/>
  <c r="G12" i="13"/>
  <c r="G47" i="13"/>
  <c r="D39" i="13"/>
  <c r="D38" i="13"/>
  <c r="D37" i="13"/>
  <c r="D36" i="13"/>
  <c r="D35" i="13"/>
  <c r="D34" i="13"/>
  <c r="D33" i="13"/>
  <c r="D32" i="13"/>
  <c r="D31" i="13"/>
  <c r="D25" i="13"/>
  <c r="D24" i="13"/>
  <c r="D23" i="13"/>
  <c r="D22" i="13"/>
  <c r="D21" i="13"/>
  <c r="D20" i="13"/>
  <c r="D19" i="13"/>
  <c r="D18" i="13"/>
  <c r="D17" i="13"/>
  <c r="D5" i="13"/>
  <c r="D6" i="13"/>
  <c r="D7" i="13"/>
  <c r="D8" i="13"/>
  <c r="D9" i="13"/>
  <c r="D10" i="13"/>
  <c r="D11" i="13"/>
  <c r="D4" i="13"/>
  <c r="D12" i="13"/>
  <c r="D47" i="13"/>
  <c r="C67" i="13"/>
  <c r="B68" i="13"/>
  <c r="C68" i="13"/>
  <c r="B69" i="13"/>
  <c r="C69" i="13"/>
  <c r="B70" i="13"/>
  <c r="C70" i="13"/>
  <c r="B71" i="13"/>
  <c r="C71" i="13"/>
  <c r="B72" i="13"/>
  <c r="C72" i="13"/>
  <c r="B73" i="13"/>
  <c r="C73" i="13"/>
  <c r="B74" i="13"/>
  <c r="C74" i="13"/>
  <c r="H50" i="13"/>
  <c r="G50" i="13"/>
  <c r="F98" i="13"/>
  <c r="I98" i="13"/>
  <c r="D43" i="13"/>
  <c r="D49" i="13"/>
  <c r="H98" i="13"/>
  <c r="G98" i="13"/>
  <c r="K50" i="13"/>
  <c r="I50" i="13"/>
  <c r="D26" i="13"/>
  <c r="D48" i="13"/>
  <c r="J50" i="13"/>
  <c r="K98" i="13"/>
  <c r="H36" i="14"/>
  <c r="H240" i="14"/>
  <c r="H159" i="14"/>
  <c r="H17" i="14"/>
  <c r="H111" i="14"/>
  <c r="H319" i="14"/>
  <c r="H51" i="14"/>
  <c r="I111" i="14"/>
  <c r="I91" i="14"/>
  <c r="I17" i="14"/>
  <c r="I400" i="14"/>
  <c r="I26" i="14"/>
  <c r="H36" i="7"/>
  <c r="H37" i="7"/>
  <c r="G67" i="14"/>
  <c r="G220" i="14"/>
  <c r="G26" i="14"/>
  <c r="G305" i="14"/>
  <c r="G148" i="14"/>
  <c r="G207" i="14"/>
  <c r="G17" i="14"/>
  <c r="G240" i="14"/>
  <c r="F305" i="14"/>
  <c r="F407" i="14"/>
  <c r="F111" i="14"/>
  <c r="F174" i="14"/>
  <c r="F248" i="14"/>
  <c r="F400" i="14"/>
  <c r="F36" i="14"/>
  <c r="F421" i="14"/>
  <c r="F67" i="14"/>
  <c r="F255" i="14"/>
  <c r="F189" i="14"/>
  <c r="F284" i="14"/>
  <c r="F159" i="14"/>
  <c r="F220" i="14"/>
  <c r="G36" i="7"/>
  <c r="AP120" i="5"/>
  <c r="F91" i="14"/>
  <c r="F360" i="14"/>
  <c r="F51" i="14"/>
  <c r="F338" i="14"/>
  <c r="F17" i="14"/>
  <c r="F294" i="14"/>
  <c r="F207" i="14"/>
  <c r="F26" i="14"/>
  <c r="F148" i="14"/>
  <c r="F319" i="14"/>
  <c r="F133" i="14"/>
  <c r="F236" i="14"/>
  <c r="F240" i="14"/>
  <c r="F265" i="14"/>
  <c r="F273" i="14"/>
  <c r="E220" i="14"/>
  <c r="F36" i="7"/>
  <c r="E10" i="14"/>
  <c r="E174" i="14"/>
  <c r="E51" i="14"/>
  <c r="F37" i="7"/>
  <c r="AO120" i="5"/>
  <c r="E294" i="14"/>
  <c r="E207" i="14"/>
  <c r="E406" i="14"/>
  <c r="E148" i="14"/>
  <c r="E230" i="14"/>
  <c r="E319" i="14"/>
  <c r="E421" i="14"/>
  <c r="E111" i="14"/>
  <c r="E26" i="14"/>
  <c r="E273" i="14"/>
  <c r="E235" i="14"/>
  <c r="E240" i="14"/>
  <c r="E305" i="14"/>
  <c r="E383" i="14"/>
  <c r="E255" i="14"/>
  <c r="E17" i="14"/>
  <c r="E67" i="14"/>
  <c r="E360" i="14"/>
  <c r="E400" i="14"/>
  <c r="G36" i="8"/>
  <c r="E36" i="14"/>
  <c r="E159" i="14"/>
  <c r="E189" i="14"/>
  <c r="E338" i="14"/>
  <c r="E133" i="14"/>
  <c r="AP122" i="5"/>
  <c r="H36" i="8"/>
  <c r="F383" i="14"/>
  <c r="G37" i="7"/>
  <c r="AO122" i="5"/>
  <c r="K36" i="8"/>
  <c r="AS122" i="5"/>
  <c r="AS120" i="5"/>
  <c r="J37" i="7"/>
  <c r="AR120" i="5"/>
  <c r="I37" i="7"/>
  <c r="AR122" i="5"/>
  <c r="J36" i="8"/>
  <c r="I36" i="8"/>
  <c r="AQ122" i="5"/>
  <c r="AQ120" i="5"/>
  <c r="AN120" i="5"/>
  <c r="E37" i="7"/>
  <c r="I242" i="14"/>
  <c r="I79" i="14"/>
  <c r="I113" i="14"/>
  <c r="I69" i="14"/>
  <c r="I1" i="14"/>
  <c r="D421" i="14"/>
  <c r="I19" i="14"/>
  <c r="I321" i="14"/>
  <c r="I232" i="14"/>
  <c r="I28" i="14"/>
  <c r="AN122" i="5"/>
  <c r="F36" i="8"/>
  <c r="I362" i="14"/>
  <c r="I12" i="14"/>
  <c r="I222" i="14"/>
  <c r="I191" i="14"/>
  <c r="I385" i="14"/>
  <c r="I176" i="14"/>
  <c r="I257" i="14"/>
  <c r="I340" i="14"/>
  <c r="I93" i="14"/>
  <c r="I372" i="14"/>
  <c r="I150" i="14"/>
  <c r="I53" i="14"/>
  <c r="I209" i="14"/>
  <c r="I307" i="14"/>
  <c r="I402"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tc={35E68B00-6DDD-4610-A033-33CF23699861}</author>
    <author>Sidney Innerebner</author>
  </authors>
  <commentList>
    <comment ref="A2" authorId="0" shapeId="0" xr:uid="{35E68B00-6DDD-4610-A033-33CF23699861}">
      <text>
        <t>[Threaded comment]
Your version of Excel allows you to read this threaded comment; however, any edits to it will get removed if the file is opened in a newer version of Excel. Learn more: https://go.microsoft.com/fwlink/?linkid=870924
Comment:
    Yellow cells need to be uploaded and managed in iSpring.  Also send to Denver Water</t>
      </text>
    </comment>
    <comment ref="D22" authorId="1" shapeId="0" xr:uid="{78E055EB-7E0C-45A0-B0C7-071607D020A9}">
      <text>
        <r>
          <rPr>
            <b/>
            <sz val="9"/>
            <color indexed="81"/>
            <rFont val="Tahoma"/>
            <family val="2"/>
          </rPr>
          <t>Sidney Innerebner:</t>
        </r>
        <r>
          <rPr>
            <sz val="9"/>
            <color indexed="81"/>
            <rFont val="Tahoma"/>
            <family val="2"/>
          </rPr>
          <t xml:space="preserve">
Change name to AC and DC Motors for 2025</t>
        </r>
      </text>
    </comment>
    <comment ref="Z90" authorId="1" shapeId="0" xr:uid="{812EEA09-A095-4EFA-B9AE-760958CC7D79}">
      <text>
        <r>
          <rPr>
            <b/>
            <sz val="9"/>
            <color indexed="81"/>
            <rFont val="Tahoma"/>
            <family val="2"/>
          </rPr>
          <t>Sidney Innerebner:</t>
        </r>
        <r>
          <rPr>
            <sz val="9"/>
            <color indexed="81"/>
            <rFont val="Tahoma"/>
            <family val="2"/>
          </rPr>
          <t xml:space="preserve">
There are 18 quizzes total.  16 have 1 question each.  One has 2 questions.  Final quiz has 4 questions.
</t>
        </r>
      </text>
    </comment>
  </commentList>
</comments>
</file>

<file path=xl/sharedStrings.xml><?xml version="1.0" encoding="utf-8"?>
<sst xmlns="http://schemas.openxmlformats.org/spreadsheetml/2006/main" count="5742" uniqueCount="2645">
  <si>
    <t>Pumps</t>
  </si>
  <si>
    <t>Lift Stations</t>
  </si>
  <si>
    <t>Chlorine Disinfection</t>
  </si>
  <si>
    <t>Corrosion Control</t>
  </si>
  <si>
    <t>Activated Sludge Basics</t>
  </si>
  <si>
    <t>What's In My Wastewater: Definitions and Typical Ratios</t>
  </si>
  <si>
    <t>Types of Activated Sludge Systems</t>
  </si>
  <si>
    <t>Activated Sludge Process Control Tests and Troubleshooting</t>
  </si>
  <si>
    <t>Nitrification and Denitrification</t>
  </si>
  <si>
    <t>Biological and Chemical Phosphorus Removal</t>
  </si>
  <si>
    <t>Aerobic and Anaerobic Digestion</t>
  </si>
  <si>
    <t>Belt Filter Presses</t>
  </si>
  <si>
    <t>Introduction to Solids Handling and 503 Regulations</t>
  </si>
  <si>
    <t>Pretreatment and Pollution Prevention</t>
  </si>
  <si>
    <t>Introduction to Collections Systems</t>
  </si>
  <si>
    <t>Introduction to Wastewater:  A Plant Overview</t>
  </si>
  <si>
    <t>Collection System Inspection, Testing, and Cleaning - Part 1</t>
  </si>
  <si>
    <t>Collection System Inspection, Testing, and Cleaning - Part 2</t>
  </si>
  <si>
    <t>Confined Space Entry</t>
  </si>
  <si>
    <t>Odor Control</t>
  </si>
  <si>
    <t>Trenching and Shoring</t>
  </si>
  <si>
    <t>Basic Chemistry</t>
  </si>
  <si>
    <t>W</t>
  </si>
  <si>
    <t>WW</t>
  </si>
  <si>
    <t>C</t>
  </si>
  <si>
    <t>D</t>
  </si>
  <si>
    <t>I</t>
  </si>
  <si>
    <t>This course is devoted to operation and maintenance of belt filter presses.  It begins with a thorough discussion of belt filter press theory followed by a close examination of the components of the press itself.  The second half of the course is devoted to process control calculations specific to belt filter presses followed by a section on troubleshooting.</t>
  </si>
  <si>
    <t>This course is devoted to operation and maintenance of centrifuges.  It begins with a thorough discussion of centrifugal dewatering theory followed by a close examination of the equipment components.  The second half of the course is devoted to process control calculations and adjustments specific to centrifuges followed by a section on troubleshooting.</t>
  </si>
  <si>
    <t>This class presents an overview of the collection system and discusses its primary components and types.  Placement of interceptors along natural drainages, manhole placement, pump station function, and inflow and infiltration are discussed.  Collection system architecture is compared to distribution system architecture.  The following topics are also covered:  minimum slopes for given pipe diameters, preferred d/D ratios, scour at peak hour flows, pipe materials, velocities in force mains, hydraulic gradeline, and causes of surcharging.</t>
  </si>
  <si>
    <t>This course discusses the industrial pretreatment and pollution prevention programs. It focuses on how effluent limits for indirect dischargers are determined. The impact of various types of discharges on the collection system, especially FOG, will be discussed. Topics to be covered include: legal authority and the sewer ordinance, setting local limits, categorical limits, types of users connecting to the collection system, and pollution prevention at the source. The pollution prevention portion of the course focusses on how industrial users can decrease water usage and wastewater strength by implementing simple changes on the factory floor. The use of screens, water audits, and other methods is discussed.</t>
  </si>
  <si>
    <t>This course is meant as an introduction to metals precipitation chemistry, pH control, cyanide chemistry.  Learn industrial chemistry used to remove heavy metals and cyanide from different waste streams prior to discharge.  How low can you go?</t>
  </si>
  <si>
    <t>Math Modules</t>
  </si>
  <si>
    <t>Unit Conversions</t>
  </si>
  <si>
    <t>Geometry</t>
  </si>
  <si>
    <t>Chemical Dosing</t>
  </si>
  <si>
    <t>Universal Topics</t>
  </si>
  <si>
    <t>Hydraulics Basics</t>
  </si>
  <si>
    <t>Collection Systems Topics</t>
  </si>
  <si>
    <t>Wastewater Treatment Topics</t>
  </si>
  <si>
    <t>Fixed Film: Trickling Filters and RBCs</t>
  </si>
  <si>
    <t>Activated Sludge Basics: A Mechanical Approach</t>
  </si>
  <si>
    <t>This course introduces participants to the basics of activated sludge. It presents fundamental concepts such as space loading, F:M ratio, MCRT, SRT, solids loading and flux to the secondary clarifier, and surface overflow rate. We focus on how each of these variables is interrelated and how changing one necessarily changes the others. Typical ranges for conventional and extended aeration activated sludge plants are compared.  This class also looks at an introduction to microbiology, filaments, conditions for filamentous growth, and control.</t>
  </si>
  <si>
    <t>Introduction to Small Water Systems</t>
  </si>
  <si>
    <t>Water Sources Part 1</t>
  </si>
  <si>
    <t>Water Sources Part 2</t>
  </si>
  <si>
    <t>Corrosion Control and Laboratory</t>
  </si>
  <si>
    <t>Electrical Fundamentals</t>
  </si>
  <si>
    <t>This is part 1 of a series of on-line training classes taught from ACRP's book "Introduction to Small Water Systems".  This brief introduction explores the following topics:  properties of water, distribution of water on planet earth, the hydrologic cycle, uses of water, basic types of water systems, a history of water treatment and distribution, classification of water systems, and definitions of typical small water system types.</t>
  </si>
  <si>
    <t>This presentation walks attendees through completion of a sample DMR from a fictional facility.  Calculations are done in accordance with the DMR Guidance Document published by the State WQCD in January 2014.  Terminology and proper units are discussed.</t>
  </si>
  <si>
    <t>MATH-001</t>
  </si>
  <si>
    <t>MATH-002</t>
  </si>
  <si>
    <t>ALL-001</t>
  </si>
  <si>
    <t>ALL-002</t>
  </si>
  <si>
    <t>ALL-003</t>
  </si>
  <si>
    <t>ALL-004</t>
  </si>
  <si>
    <t>ALL-005</t>
  </si>
  <si>
    <t>COL-001</t>
  </si>
  <si>
    <t>COL-002</t>
  </si>
  <si>
    <t>COL-003</t>
  </si>
  <si>
    <t>COL-004</t>
  </si>
  <si>
    <t>COL-005</t>
  </si>
  <si>
    <t>SAF-001</t>
  </si>
  <si>
    <t>SAF-002</t>
  </si>
  <si>
    <t>WWT-001</t>
  </si>
  <si>
    <t>WWT-003</t>
  </si>
  <si>
    <t>WWT-004</t>
  </si>
  <si>
    <t>WWT-005</t>
  </si>
  <si>
    <t>WWT-006</t>
  </si>
  <si>
    <t>WWT-007</t>
  </si>
  <si>
    <t>WWT-008</t>
  </si>
  <si>
    <t>WWT-009</t>
  </si>
  <si>
    <t>WWT-010</t>
  </si>
  <si>
    <t>WWT-011</t>
  </si>
  <si>
    <t>WWT-013</t>
  </si>
  <si>
    <t>WWT-014</t>
  </si>
  <si>
    <t>WWT-015</t>
  </si>
  <si>
    <t>WWT-016</t>
  </si>
  <si>
    <t>WWT-017</t>
  </si>
  <si>
    <t>WWT-018</t>
  </si>
  <si>
    <t>WWT-019</t>
  </si>
  <si>
    <t>WWT-020</t>
  </si>
  <si>
    <t>WWT-021</t>
  </si>
  <si>
    <t>WWT-022</t>
  </si>
  <si>
    <t>WWT-023</t>
  </si>
  <si>
    <t>WWT-024</t>
  </si>
  <si>
    <t>WWT-025</t>
  </si>
  <si>
    <t>WWT-027</t>
  </si>
  <si>
    <t>WWT-028</t>
  </si>
  <si>
    <t>WATER-001</t>
  </si>
  <si>
    <t>WATER-002</t>
  </si>
  <si>
    <t>WATER-003</t>
  </si>
  <si>
    <t>WATER-004</t>
  </si>
  <si>
    <t>WATER-005</t>
  </si>
  <si>
    <t>WATER-006</t>
  </si>
  <si>
    <t>WATER-007</t>
  </si>
  <si>
    <t>WATER-008</t>
  </si>
  <si>
    <t>Implementing a focused maintenance program that includes predictive and preventive maintenance strategies is critical for maintaining water and wastewater infrastructure.  This course will walk participants through how to set up a good maintenance program from tracking spare parts to proving effectiveness.</t>
  </si>
  <si>
    <t>This course (in 2 parts) introduces participants to the purposes and methods of collection system inspection, testing, and cleaning including: closed circuit television inspections, smoke testing, dye testing, sewer balling, jetting, rodding, flushing, and bucketmachines.  The importance of maintaining good system records and maps of the collection system is emphasized.  Collection system modeling and GIS concepts are introduced as they relate to maintenance records.  Participants will learn to identify problems in existing pipelines, locate storm sewer connections to the sanitary sewer, estimate inflow and infiltration, and identify deposits of oil and grease.  Participants will view actual CCTV footage.</t>
  </si>
  <si>
    <t>This presentation introduces operators to wastewater treatment starting with a "typical" treatment plant consisting of preliminary, primary, secondary, and tertiary treatment followed by disinfection.  Alternatives for each unit process will be discussed such as activated sludge or lagoons or trickling filters for the secondary process.  Solids handling, thickening, digestion, and dewatering will be introduced and the importance of recycle streams emphasized.</t>
  </si>
  <si>
    <t>Domestic wastewater is fairly consistent in composition from treatment plant to treatment plant.  Unless there are large industrial contributions, domestic wastewater can be expected to adhere to some basic principles.  For example, influent BOD should be between 80 and 120% of the influent TSS.  Influent TKN should be around 10 or 20 percent of the influent BOD.  We'll look at why these ratios hold true and how they can be used to determine if laboratory data is internally consistent.  Knowing typical wastewater characteristics can be extraordinarily helpful in determining whether sample results are representative. Look at your lab data in a whole new light!</t>
  </si>
  <si>
    <t>This course is an introduction to biological and chemical phosphorus removal.  Attendees will learn about the organisms responsible for biological phosphorus removal, the importance of cycling between anaerobic and anoxic/aerobic conditions, the benefits of biological phosphorus removal, and a brief introduction to chemical removal methods.</t>
  </si>
  <si>
    <t>This wastewater-focused presentation walks the participant through chlorine chemistry, the different forms of chlorine available for disinfection, and chlorine safety. This class devotes time to the safe handling of gaseous and liquid chlorine and reporting requirements under SARA Title III. The class covers recommended doses and contact times for various applications as well as the impact of water chemistry and temperature on disinfection.</t>
  </si>
  <si>
    <t>Participants will be given an overview of the Biosolids 503 Regulations and their Colorado equivalent including sample calculations for land application.  The purpose of solids stabilization and management is emphasized both from a public health perspective and reducing overall operating and disposal costs.</t>
  </si>
  <si>
    <t>Representative Sampling</t>
  </si>
  <si>
    <t>Disinfection Byproducts</t>
  </si>
  <si>
    <t>This presentation will define disinfection byproducts and discuss the regulations on their levels in drinking water and recycled water. We will look at what causes the formation of DBPs and ways to prevent their formation. Applicable to both water and wastewater systems.</t>
  </si>
  <si>
    <t>ALL-007</t>
  </si>
  <si>
    <t>ALL-008</t>
  </si>
  <si>
    <t>OEPA-S576553-OM</t>
  </si>
  <si>
    <t>OEPA-S579874-OM</t>
  </si>
  <si>
    <t>OEPA-S579875-OM</t>
  </si>
  <si>
    <t>OEPA-S579873-OM</t>
  </si>
  <si>
    <t>OEPA-S579844-OM</t>
  </si>
  <si>
    <t>OEPA-B576552-OM</t>
  </si>
  <si>
    <t>OEPA-B579845-OM</t>
  </si>
  <si>
    <t>OEPA-S579876-OM</t>
  </si>
  <si>
    <t>OEPA-S579846-OM</t>
  </si>
  <si>
    <t>OEPA-B579858-OM</t>
  </si>
  <si>
    <t>OEPA-B579840-OM</t>
  </si>
  <si>
    <t>OEPA-S579863-OM</t>
  </si>
  <si>
    <t>OEPA-S579864-OM</t>
  </si>
  <si>
    <t>OEPA-B579842-X</t>
  </si>
  <si>
    <t>OEPA-B579856-OM</t>
  </si>
  <si>
    <t>OEPA-B580289-OM</t>
  </si>
  <si>
    <t>OEPA-S581512-OM</t>
  </si>
  <si>
    <t>OEPA-B579859-OM</t>
  </si>
  <si>
    <t>OEPA-B581457-OM</t>
  </si>
  <si>
    <t>OEPA-B579855-OM</t>
  </si>
  <si>
    <t>OEPA-S579861-OM</t>
  </si>
  <si>
    <t>OEPA-B579843-OM</t>
  </si>
  <si>
    <t>OEPA-S579867-OM</t>
  </si>
  <si>
    <t>OEPA-B579848-OM</t>
  </si>
  <si>
    <t>OEPA-S581445-OM</t>
  </si>
  <si>
    <t>OEPA-S579870-OM</t>
  </si>
  <si>
    <t>OEPA-S579869-OM</t>
  </si>
  <si>
    <t>OEPA-S579862-OM</t>
  </si>
  <si>
    <t>OEPA-B581464-OM</t>
  </si>
  <si>
    <t>OEPA-S579877-OM</t>
  </si>
  <si>
    <t>OEPA-S579851-OM</t>
  </si>
  <si>
    <t>OEPA-S579866-OM</t>
  </si>
  <si>
    <t>OEPA-B579847-OM</t>
  </si>
  <si>
    <t>OEPA-B581454-OM</t>
  </si>
  <si>
    <t>OEPA-B580290-OM</t>
  </si>
  <si>
    <t>OEPA-S579872-OM</t>
  </si>
  <si>
    <t>OEPA-B579857-X</t>
  </si>
  <si>
    <t>OEPA-S579878-OM</t>
  </si>
  <si>
    <t>OEPA-B579860-OM</t>
  </si>
  <si>
    <t>OEPA-S579868-OM</t>
  </si>
  <si>
    <t>Both DW and WW</t>
  </si>
  <si>
    <t>Speaker</t>
  </si>
  <si>
    <t>Maintenance</t>
  </si>
  <si>
    <t>Lagoons and Wetlands</t>
  </si>
  <si>
    <t>Lagoons and Fixed Film</t>
  </si>
  <si>
    <t>State Point Analysis for Secondary Clarifiers</t>
  </si>
  <si>
    <t>Centrifuges</t>
  </si>
  <si>
    <t>Treatment of Metal Wastestreams</t>
  </si>
  <si>
    <t>Course Title</t>
  </si>
  <si>
    <t>WW Only</t>
  </si>
  <si>
    <t>OEPA-B579850-OM</t>
  </si>
  <si>
    <t>OEPA-S579852-OM</t>
  </si>
  <si>
    <t>OEPA-S579871-OM</t>
  </si>
  <si>
    <t>Not approved.</t>
  </si>
  <si>
    <t>Stacy Passaro, PE</t>
  </si>
  <si>
    <t>Josh Baile, MBA, CWP</t>
  </si>
  <si>
    <t>Dale Colerick, CWP</t>
  </si>
  <si>
    <t>Ken Schnaars, PE</t>
  </si>
  <si>
    <t>Mike Lutz, PE</t>
  </si>
  <si>
    <t>Gary Parham, PE, CWP</t>
  </si>
  <si>
    <t>Not yet approved.</t>
  </si>
  <si>
    <t>WWT-029</t>
  </si>
  <si>
    <t>Discharge permit limits and sampling requirements are often a source of mystery to treatment plant operators and many feel the State is arbitrary in deciding which limits apply to which facility.  This feeling is exacerbated when operators compare permits to nearby facilities and discover that permit limits and requirements can be quite different for facilities that are only a mile or two apart.  This presentation walks through the regulations used to set discharge permit limits, discusses the reasons for different limits, low flow calculations, mass balances in the stream, designated uses, and some of the State policies used when writing a permit.  After watching this presentation, an operator should be able to trace the source and rational for each limit in their discharge permit.</t>
  </si>
  <si>
    <t>Water Treatment &amp; Distribution Topics</t>
  </si>
  <si>
    <t>Manholes</t>
  </si>
  <si>
    <t>Manholes provide access points for maintenance, flow monitoring, chemical addition, bypass pumping and more.  Even a small municipality will have several hundred manholes spaced at a maximum of 300 to 500 foot apart.  Like most of the public, we don't give them much thought even though they are critical parts of our collection systems.  Manhole basics includes typical terminology, manhole construction, manhole inspection and maintenance, and even includes some handy tips on how to find lost manholes and preventing manholes from getting lost in the first place.  Useful information for anyone pursuing their collection systems certification.</t>
  </si>
  <si>
    <t>COL-006</t>
  </si>
  <si>
    <t>Utah Approval</t>
  </si>
  <si>
    <t>Washington State CEUs</t>
  </si>
  <si>
    <t>Not Approved.</t>
  </si>
  <si>
    <t>Not Approved</t>
  </si>
  <si>
    <t>MATH-000</t>
  </si>
  <si>
    <t>OEPA-S88119931-OM</t>
  </si>
  <si>
    <t>All Operators</t>
  </si>
  <si>
    <t>WW; 3, 5 All IWW; 5</t>
  </si>
  <si>
    <t>5976-16-11</t>
  </si>
  <si>
    <t>5977-16-11</t>
  </si>
  <si>
    <t>Non-Process</t>
  </si>
  <si>
    <t>Process</t>
  </si>
  <si>
    <t>All WW, All IWW, All WWC Operators</t>
  </si>
  <si>
    <t>All WW Operators</t>
  </si>
  <si>
    <t>5996-16-11</t>
  </si>
  <si>
    <t>WW 3, 4, A; IWW 4 Operators</t>
  </si>
  <si>
    <t>5997-16-11</t>
  </si>
  <si>
    <t>WW 3, 5, A; IWW 5 Operators</t>
  </si>
  <si>
    <t>WW 3, 5, A Operators</t>
  </si>
  <si>
    <t>6005-16-11</t>
  </si>
  <si>
    <t>All WW, All IWW, WT 3, 4 Operators</t>
  </si>
  <si>
    <t>All WW, All IWW, All WT Operators</t>
  </si>
  <si>
    <t>6013-16-11</t>
  </si>
  <si>
    <t>Water Treatment Part 2 (Disinfection, Water Focus)</t>
  </si>
  <si>
    <t>5979-16-10</t>
  </si>
  <si>
    <t>MATH-004</t>
  </si>
  <si>
    <t>Velocity and Hydraulic Detention Time</t>
  </si>
  <si>
    <t>MATH-005</t>
  </si>
  <si>
    <t>Geometry and Velocity</t>
  </si>
  <si>
    <t>MATH-003</t>
  </si>
  <si>
    <t xml:space="preserve"> </t>
  </si>
  <si>
    <t>Math Strategies for Success</t>
  </si>
  <si>
    <t xml:space="preserve">The first half of this presentation discusses different types of corrosion that can occur in water and wastewater systems with an emphasis on corrosion control in distribution systems specifically. Methods approved by EPA to control corrosion -- passivating films, control of water characteristics, and chemical addition (polyphosphates or silicates) are presented.  Lagelier Index, CCPP Index, Hardness, and Alkalinity are defined.  The galvanic cell and galvanic corrosion are also discussed.  The second half of this presentation discusses three common water quality test methods: chlorine residual analysis by DPD, alkalinity, and hardness. </t>
  </si>
  <si>
    <t>OEPA-B88466597-OM</t>
  </si>
  <si>
    <t>OEPA-D88466583-OM</t>
  </si>
  <si>
    <t>OEPA-B88466595-OM</t>
  </si>
  <si>
    <t>OEPA-D88466608-OM</t>
  </si>
  <si>
    <t>OEPA-D88466609-OM</t>
  </si>
  <si>
    <t>OEPA-D88456761-OM</t>
  </si>
  <si>
    <t>OEPA-D88456757-OM</t>
  </si>
  <si>
    <t>CO_MAX_TUs</t>
  </si>
  <si>
    <t>CO_W</t>
  </si>
  <si>
    <t>CO_WW</t>
  </si>
  <si>
    <t>CO_I</t>
  </si>
  <si>
    <t>CO_D</t>
  </si>
  <si>
    <t>CO_C</t>
  </si>
  <si>
    <t>IN_Approval_Number</t>
  </si>
  <si>
    <t>IN_Technical_Contact_Hours</t>
  </si>
  <si>
    <t>IN_General_Contact_Hours</t>
  </si>
  <si>
    <t>MD_Course_Code</t>
  </si>
  <si>
    <t>MD_Approved_CAT</t>
  </si>
  <si>
    <t>MD_Process</t>
  </si>
  <si>
    <t>MD_Hours</t>
  </si>
  <si>
    <t>Nebraska_Municipal_Hrs</t>
  </si>
  <si>
    <t>Nebraska_Industrial_Hrs</t>
  </si>
  <si>
    <t>NV_CEU_Hrs</t>
  </si>
  <si>
    <t>NV_NWEA_Course_No</t>
  </si>
  <si>
    <t>NV_WW</t>
  </si>
  <si>
    <t>NM_Follows_Colorado</t>
  </si>
  <si>
    <t>OH_Audience</t>
  </si>
  <si>
    <t>Utah_Approval</t>
  </si>
  <si>
    <t>Washington_State_CEUs</t>
  </si>
  <si>
    <t>Washington_State_Approval</t>
  </si>
  <si>
    <t>WI_Approval_No</t>
  </si>
  <si>
    <t>WI_Municipal_Waterworks</t>
  </si>
  <si>
    <t>WI_Wastewater</t>
  </si>
  <si>
    <t>Indigo_Course_ID</t>
  </si>
  <si>
    <t>Indigo_Course_Title</t>
  </si>
  <si>
    <t>Topic_Description</t>
  </si>
  <si>
    <t>How Did CDPHE Determine My Permit Limits?</t>
  </si>
  <si>
    <t>OPEA-B88474073-OM</t>
  </si>
  <si>
    <t>On-Line Wastewater Short School</t>
  </si>
  <si>
    <t>Mixed</t>
  </si>
  <si>
    <t>Topic</t>
  </si>
  <si>
    <t>Existing Approval No.</t>
  </si>
  <si>
    <t>Portal Topic Used for TUs Calculation</t>
  </si>
  <si>
    <t>Max TUs</t>
  </si>
  <si>
    <t>MAX</t>
  </si>
  <si>
    <t>TUs</t>
  </si>
  <si>
    <t>Course Cost</t>
  </si>
  <si>
    <t>Indigo ID Number</t>
  </si>
  <si>
    <t>On-Line Drinking Water Short School</t>
  </si>
  <si>
    <t>Wastewater Exam Cram - Day 2</t>
  </si>
  <si>
    <t>Wastewater Exam Cram - Day 3</t>
  </si>
  <si>
    <t>MATH-006</t>
  </si>
  <si>
    <t>Using the Two-Normal and Three-Normal Equations</t>
  </si>
  <si>
    <t>Indigo Course ID</t>
  </si>
  <si>
    <t>Colorado Max TUs</t>
  </si>
  <si>
    <t>Colorado Water TUs</t>
  </si>
  <si>
    <t>Colorado Wastewater TUs</t>
  </si>
  <si>
    <t>Colorado Industrial TUs</t>
  </si>
  <si>
    <t>Colorado Distribution TUs</t>
  </si>
  <si>
    <t>Colorado Collection System TUs</t>
  </si>
  <si>
    <t>Indiana Approval No.</t>
  </si>
  <si>
    <t>Indiana Technical Hrs</t>
  </si>
  <si>
    <t>Indiana General Hrs</t>
  </si>
  <si>
    <t>Maryland Audience</t>
  </si>
  <si>
    <t>Maryland Process?</t>
  </si>
  <si>
    <t>Maryland Hours</t>
  </si>
  <si>
    <t>Nebraska Municipal Hours</t>
  </si>
  <si>
    <t>Nebraska Industrial Hours</t>
  </si>
  <si>
    <t>Nevada CEU Hours</t>
  </si>
  <si>
    <t>Nevada Wastewater Approval</t>
  </si>
  <si>
    <t>Ohio Audience</t>
  </si>
  <si>
    <t>Washington Approval No.</t>
  </si>
  <si>
    <t>Wisconsin Approval No.</t>
  </si>
  <si>
    <t>Wisconsin Municipal Waterworks</t>
  </si>
  <si>
    <t>Wisconsin Wastewater</t>
  </si>
  <si>
    <t>Washington rounds to nearest hr.</t>
  </si>
  <si>
    <t>DW Only</t>
  </si>
  <si>
    <t>On-Line</t>
  </si>
  <si>
    <t>Total</t>
  </si>
  <si>
    <t>Include in TU Calculations?</t>
  </si>
  <si>
    <t>Yes</t>
  </si>
  <si>
    <t>No</t>
  </si>
  <si>
    <t>Time</t>
  </si>
  <si>
    <t>Total Courses Selected</t>
  </si>
  <si>
    <t>MRT Drinking Water Regulatory Course</t>
  </si>
  <si>
    <t>Short Schools and Classroom Courses</t>
  </si>
  <si>
    <t>Wyoming
CORE?</t>
  </si>
  <si>
    <t>Wyoming
Rules?</t>
  </si>
  <si>
    <t>Wyoming
Hours</t>
  </si>
  <si>
    <t>Core</t>
  </si>
  <si>
    <t>Counts as 30-days of hands-on experience for operators</t>
  </si>
  <si>
    <t>taking the D or S level certification exams.</t>
  </si>
  <si>
    <t>WY_Cat_No</t>
  </si>
  <si>
    <t>WY_Core_Hours</t>
  </si>
  <si>
    <t>WY_Total_Hours</t>
  </si>
  <si>
    <t>WY_Rules_Hours</t>
  </si>
  <si>
    <t>Intro to Distribution Systems</t>
  </si>
  <si>
    <t>MRT for Wastewater Treatment and Collection Systems</t>
  </si>
  <si>
    <t>Drinking Water Treatment Part 1</t>
  </si>
  <si>
    <t>Biological Treatment Basics</t>
  </si>
  <si>
    <t>Total Course Length with Questions, Hours</t>
  </si>
  <si>
    <t>OEPA-S88637619-OM</t>
  </si>
  <si>
    <t>Minutes</t>
  </si>
  <si>
    <t>Completed On-Line Wastewater Short School</t>
  </si>
  <si>
    <t>Completed On-Line Drinking Water Short School</t>
  </si>
  <si>
    <t>Wyoming
Area</t>
  </si>
  <si>
    <t>No </t>
  </si>
  <si>
    <t>W, D, WW, C</t>
  </si>
  <si>
    <t>W, D, WW</t>
  </si>
  <si>
    <t>WW, C</t>
  </si>
  <si>
    <t>W, D</t>
  </si>
  <si>
    <t xml:space="preserve">No </t>
  </si>
  <si>
    <t>Jeremy Fielding</t>
  </si>
  <si>
    <t>Students will learn about the relationships between electricity and magnetism and how generators, DC motors, AC motors, relay switches, and other types of electrical equipment work.</t>
  </si>
  <si>
    <t>Fundamentals basics introduces operators to different groups of microorganisms (aerobic, facultative, anaerobic, nitrifying, filamentous, and others) by comparing them to simple combustion motors.  The growth requirements and waste products for each group are presented.  The course concludes with a quick look at kinetics and the concept of limiting reactants.</t>
  </si>
  <si>
    <t>Wastewater</t>
  </si>
  <si>
    <t xml:space="preserve">This presentation covers biological nitrification and denitrification. Topics that are covered include: the organisms responsible for nitrification and denitrification, stoichiometry, variables that impact performance (DO, alkalinity, pH, temperature, SRT, BOD:N ratio), the different types of unit processes (fixed films and activated sludge) that can be used for nitrogen removal. </t>
  </si>
  <si>
    <t> This course covers solids testing for wastewater samples.  Each test method is presented with lots of photographs to walk attendees through the procedures step by step.  Appropriate QA/QC samples for each test method are presented, why they are needed, and what information they give.  Example calculations demonstrate how to obtain final results, percent recovery for standards, and RPD for duplicates.</t>
  </si>
  <si>
    <t>OEPA-B88672230-OM</t>
  </si>
  <si>
    <t>OEPA-B88672243-OM</t>
  </si>
  <si>
    <t>Objective_1</t>
  </si>
  <si>
    <t>Objective_2</t>
  </si>
  <si>
    <t>Objective_3</t>
  </si>
  <si>
    <t>Objective_4</t>
  </si>
  <si>
    <t>Objective_5</t>
  </si>
  <si>
    <t>Objective_6</t>
  </si>
  <si>
    <t>Objective_7</t>
  </si>
  <si>
    <t>Successfully convert one unit to another unit.  For example, convert gpm to cfs.</t>
  </si>
  <si>
    <t>Rearrange equations to solve for an unknown.</t>
  </si>
  <si>
    <t>Use the have / have not strategy to determine which formula is needed.</t>
  </si>
  <si>
    <t>Recognize when unit conversions are needed.</t>
  </si>
  <si>
    <t>Thirty minutes of math problems covering unit conversions.  Participants watch numerous examples followed by working problems on their own and quizzes.</t>
  </si>
  <si>
    <t>Convert one unit to another using dimensional analysis.  For example gpm to cfs.</t>
  </si>
  <si>
    <t>Find the area and volume of cylindrical and rectangular tanks.</t>
  </si>
  <si>
    <t>Calculate the surface area of cylindrical and rectangular tanks.</t>
  </si>
  <si>
    <t>Thirty minutes of math problems focused on chlorine addition -- Dose, Demand, Residual, Pounds per Day, and percent available chlorine are defined.  Attendees watch example problems to calculate each variable and then try similar problems on their own in quiz questions.</t>
  </si>
  <si>
    <t>Understand the difference between dose, demand, and residual.</t>
  </si>
  <si>
    <t>Calculate Dose, Demand, Residual, or pounds per day given the remaining variables.</t>
  </si>
  <si>
    <t>Sixty minutes of math problems focussed on hydraulic detention time and velocity in pipes and open channels.  Attendees watch video examples of math problems being worked followed by performing similar calculations in quizzes.</t>
  </si>
  <si>
    <t>Define hydraulic detention time.</t>
  </si>
  <si>
    <t>Define velocity.</t>
  </si>
  <si>
    <t>Calculate hydraulic detention time and velocity in basins, pipes, and open channels.</t>
  </si>
  <si>
    <t>Ninety minutes of math problems focussed on geometry and velocity.  Participants watch problems being solved followed by trying similar problems on their own in quizzes.</t>
  </si>
  <si>
    <t>Find the cross-sectional area of a pipe and open channel.</t>
  </si>
  <si>
    <t>Describe the effect of changing diameter on cross-sectional area.</t>
  </si>
  <si>
    <t>Find the volume of a rectangular or cylindrical tank or pipe.</t>
  </si>
  <si>
    <t>Use the velocity equation to find either distance, time, or velocity when given two of the three variables.</t>
  </si>
  <si>
    <t>Use the velocity equation to find either velocity, flow, or area when given two of the three variables.</t>
  </si>
  <si>
    <t>Thirty minutes of math problems using the two-normal and three-normal equations to calculate dilutions, dewatering of sludge, and blending of water sources.  Quiz at the end.</t>
  </si>
  <si>
    <t>Solve water and wastewater related math problems using the two-normal and three-normal equations.</t>
  </si>
  <si>
    <t>Understand when to use the two-normal versus three-normal equation.</t>
  </si>
  <si>
    <t>This course discusses the different kinds of pumps used in water and wastewater treatment including centrifugal, positive displacement, peristaltic, and more. Components of each pump and mechanism of action are discussed as well as typical uses. Other topics include: cavitation and why it occurs, calculating horsepower, differences between water, brake, and motor horsepower, pump curves, the pump affinity laws, and total dynamic head. This presentation is supplemented with many wonderful pump animations provided by various pump manufacturers that are linked to through youtube.</t>
  </si>
  <si>
    <t>Identify the major components of a centrifugal pump and give the purpose/function of each piece.  Explain the underlying principals of centrifugal pump operation.</t>
  </si>
  <si>
    <t>List the defining characteristics of a centrifugal pump.</t>
  </si>
  <si>
    <t>Visually inspect cavitation damage on an impeller and determine whether the root cause of cavitation is upstream or downstream of the pump.  List at least five potential causes for pump cavitation.</t>
  </si>
  <si>
    <t>Describe the different types of pumps (centrifugal, inclined screw, positive displacement, plunger, diaphragm, progressing cavity, rotary lobe, and peristaltic) and explain their basic operation.</t>
  </si>
  <si>
    <t>List the most common applications of different pump types.</t>
  </si>
  <si>
    <t>Calculate water, brake, and motor horsepower.</t>
  </si>
  <si>
    <t>Interpret a pump curve diagram.</t>
  </si>
  <si>
    <t>Use the pump affinity laws to calculate the new flow output, discharge head, amp draw, and brake horsepower for a pump after either the impeller diameter or motor speed has changed.</t>
  </si>
  <si>
    <t>Objective_8</t>
  </si>
  <si>
    <t>This course discusses basic properties of water including weight, density, pressure, and specific gravity.  This course discusses basic properties of water including weight, density, pressure, and specific gravity.  Conversion of pressure to feet of head is demonstrated.  Multiple examples of why pressure is so important in water and wastewater systems are presented including:  determining pressures due to elevation changes in distribution systems, high groundwater and floating tanks, surcharging of sewers, and using pressure to do work with hydraulic jacks.  The concepts of velocity and water hammer are introduced.  The presentation closes with a description and demonstration of a ram pump whose operation is based on pressure, velocity, and water hammer.</t>
  </si>
  <si>
    <t>Explain how the hydraulic properties of water can cause a tank or other structure to be pushed upward by rising groundwater, the principals behind a hydraulic jack, and the function of a manometer.</t>
  </si>
  <si>
    <t>Explain the relationship between elevation, pressure, and velocity according to Bernoulli's Theorum.</t>
  </si>
  <si>
    <t>Understand the relationship between water depth and elevation.  Calculate pressure at different locations given elevation differences and starting pressure.</t>
  </si>
  <si>
    <t>Understand the relationship between line pressure and diameter, soil characteristics, and thrust block size.</t>
  </si>
  <si>
    <t>Understand the relationship between water velocity and pipe diameter.</t>
  </si>
  <si>
    <t xml:space="preserve">Understand why water hammer can occur. </t>
  </si>
  <si>
    <t>Explain static head and why theoretical maximum lift is 34 feet at sea level.</t>
  </si>
  <si>
    <t>Compare motor, brake, and water horsepower.  Calculate each type of horsepower and cost to operate.</t>
  </si>
  <si>
    <t>Understand the impact of changing motor speed or impeller diameter on pump performance.  Apply the pump affinity laws to predict new pump flow output, discharge head, break horsepower, and amp draw.</t>
  </si>
  <si>
    <t>Understand types of head loss in pumped systems and explain the mathematical relationships shown in Darcy-Weisbach and Hazen-Williams equations.  Calculate total head loss for a simple pump-piping system.</t>
  </si>
  <si>
    <t>Understand system curves and the system operating point.  Interpret information on a typical centrifugal pump curve and find the operating point.</t>
  </si>
  <si>
    <t>This course discusses corrosion control in drinking water distribution and wastewater treatment and collection systems.  Attendees are introduced to several different causes of corrosion.  The galvanic cell and its components are discussed and how eliminating one component of the galvanic cell can prevent corrosion including: preventing contact between dissimilar metals, materials selection, coatings, and cathodic protection.  Microbially mediated corrosion is discussed along with methods to mitigate hydrogen sulfide corrosion.  For distribution systems, each of the accepted EPA strategies for corrosion control are discussed: alkalinity, pH, and calcium adjustment and orthophosphate and silicate addition.  Attendees are introduced to the Langelier Index and the Calcium Carbonate Precipitation Potential Index.</t>
  </si>
  <si>
    <t>Understand the fundamental mechanisms behind crevice corrosion, selective leaching, errosion corrosion, and microbially induced corrosion.</t>
  </si>
  <si>
    <t>List the four components of a galvanic cell and explain the basic mechanisms behind galvanic corrosion.</t>
  </si>
  <si>
    <t>Determine which of two metals will corrode when two different metals are placed into contact with another.</t>
  </si>
  <si>
    <t>Discuss various methods of mitigating corrosion including control of hydrogen sulfide concentrations, protective coatings, and cathodic protection.</t>
  </si>
  <si>
    <t>Explain the biological mechanism for hydrogen sulfide and sulfuric acid formation under septic conditions.</t>
  </si>
  <si>
    <t>Identify factors involved in corrosion of the water distribution system.  Evaluate results of a Langelier Index or Calcium Carbonate Precipitation Index calculation.</t>
  </si>
  <si>
    <t>Explain the mechanisms behind each of the three EPA accepted methods for mitigating corrosion in distribution systems:  passivation, surficial coatings, and water chemistry adjustment.  Discuss the importance of dissolved inorganic carbon (alkalinity) on formation of passivating films.</t>
  </si>
  <si>
    <t>Define the three main maintenance strategies (corrective, preventive, and predictive), give an example of each type of maintenance, and explain when each type of maintenance program is preferred.</t>
  </si>
  <si>
    <t>Implement a basic maintenance program with four components: identification of assets, selection of a maintenance strategy for each, write job plans and schedule work orders, and collection and analysis of condition data.</t>
  </si>
  <si>
    <t>Recognize predictive maintenance tools including oil analysis, vibration analysis, ultrasonic analysis, infrared imaging, and root cause analysis.</t>
  </si>
  <si>
    <t xml:space="preserve">Explain the relationship between electricity, magnetic fields, and conductors. </t>
  </si>
  <si>
    <t>Understand the differences between single-phase and three-phase power.</t>
  </si>
  <si>
    <t>This course covers the efficient and safe collection of representative samples. We will discuss characteristics and guidelines of representative samples, how to record samples, and various types of samples, as well as the use of autosamplers. Students will view both good and bad examples of samples taken.</t>
  </si>
  <si>
    <t>Explain what makes a sample representative and the assumptions behind sample collection. Determine whether to collect grab or composite samples based on data quality objectives.</t>
  </si>
  <si>
    <t>Evaluate sampling locations to determine whether they are suitable for obtaining representative samples.</t>
  </si>
  <si>
    <t>Utilize correct sampling protocol when collecting field samples to ensure they are representative and to avoid contamination.  Select the correct sampling container and preservation method for each analysis.</t>
  </si>
  <si>
    <t>Correctly install and operate composite autosamplers.  Evaluate influent wastewater analysis results as a way to determine if sampling results are typical for domestic wastewater.</t>
  </si>
  <si>
    <t>Identify critical data quality objectives for taking different types of samples based on information desired and the level of QA/QC required.</t>
  </si>
  <si>
    <t>Interpret a breakpoint chlorination graph providing detail on the chemical species present at different chlorine to ammonia ratios.  Explain how use of chloramines for disinfection limits DBP formation.</t>
  </si>
  <si>
    <t>Understand the reasons and regulatory background for limiting HAA5 and TTHM in drinking and reclaimed water.</t>
  </si>
  <si>
    <t>Define disinfection byproducts and identify the two main groups - haloacetic acids (HAA5) and total trihalomethanes (TTHMs).</t>
  </si>
  <si>
    <t>This course covers the periodic table, atoms, ionic and covalent bonding, determining the makeup of a chemical compound (stoichiometry), naming of compounds, atomic and formula weights, calculating chemical dosages, and the concept of limiting reactant.  Examples are drawn from phosphorus precipitation, disinfection, and other common reactions in wastewater.</t>
  </si>
  <si>
    <t>Understand the concept of chemical equilibrium.</t>
  </si>
  <si>
    <t>Convert nitrogen compounds to "N" and phosphate compounds from phosphate to "P".  Convert ammonia to ammonia as N, for example.</t>
  </si>
  <si>
    <t>Predict whether a solid precipitate could form as a result of a chemical reaction using information from the solubility tables.</t>
  </si>
  <si>
    <t>Apply knowledge of precipitation chemistry to removing phosphorus from wastewater by chemical treatment.</t>
  </si>
  <si>
    <t>Calculate formula weights for different compounds given the chemical formula.</t>
  </si>
  <si>
    <t>Predict whether an atom will gain or lose electrons and which ion will be formed as a result.</t>
  </si>
  <si>
    <t>Combine ions in the correct proportions to form chemical compounds.</t>
  </si>
  <si>
    <t>Balance chemical equations.</t>
  </si>
  <si>
    <t>Calculate the number of grams of reactant required to chemically react with another reactant given the chemical equation.</t>
  </si>
  <si>
    <t>Objective_9</t>
  </si>
  <si>
    <t>Understand the regulatory definition of a trench and when shoring and ladders are required.</t>
  </si>
  <si>
    <t>Identify potential hazards associated with working in trenches and methods to mitigate them.</t>
  </si>
  <si>
    <t>Evaluate conditions within trenches to identify boiling, heaving or squeezing, subsidence and bulging, tension cracks, toppling, and sloughing.</t>
  </si>
  <si>
    <t>Understand soil classifications.</t>
  </si>
  <si>
    <t>Interpret results of standard field visual and tactile tests to identify potential hazards due to soil type.</t>
  </si>
  <si>
    <t>Understand limits of allowable slopes and how soil types and other environmental conditions impact the allowable slope and potential for cave-in.</t>
  </si>
  <si>
    <t>Discuss different types of soil shoring systems available and characteristics of each.</t>
  </si>
  <si>
    <t>Define a confined space and a permit required confined space.</t>
  </si>
  <si>
    <t>Recite the permissible entry limits for oxygen, flammable gases, airborne dust, hydrogen sulfide, and carbon monoxide.  Describe the potential hazards associated with each.  Become familiar with a typical confined space entry permit.</t>
  </si>
  <si>
    <t>Describe the goals of a confined space program.</t>
  </si>
  <si>
    <t>List the duties of the entrant, attendant, and supervisor.</t>
  </si>
  <si>
    <t>Describe the procedure for a non-entry rescue.</t>
  </si>
  <si>
    <t>Complete the entry permit and safely participate in a confined space entry.</t>
  </si>
  <si>
    <t>Understand why workers don't always follow proper procedure when entering a confined space.  Risk versus reward.</t>
  </si>
  <si>
    <t>Identify major components of collection systems and describe their function.</t>
  </si>
  <si>
    <t>Distinguish between central and satellite treatment facilities.  Define the three main types of collection systems: sanitary, storm, and combined.</t>
  </si>
  <si>
    <t>Understand typical per capita wastewater generation rates and peak hour peaking factors. Estimate expected flow rates at defined points in the collection system given information about land usage.</t>
  </si>
  <si>
    <t>Calculate velocity for full and half-full pipes.  Explain factors that complicate calculating velocity in gravity sewer lines and explain why field measurements are needed for greatest accuracy.  Explain desired velocity ranges.</t>
  </si>
  <si>
    <t>Define depth to diameter ratio and explain why pipes with a d/D of 0.8 discharge the same flow as pipes with a d/D of 1.0.</t>
  </si>
  <si>
    <t>List the prohibited discharges and explain why they are prohibited.</t>
  </si>
  <si>
    <t>Describe alternatives to gravity sewers including pressure sewers, STEP and STEG systems, and vacuum sewers.</t>
  </si>
  <si>
    <t>Recognize the importance of accurate system maps as part of asset management.</t>
  </si>
  <si>
    <t>Differentiate between sources of inflow and sources of infiltration</t>
  </si>
  <si>
    <t>Discuss causes of surcharging and how I&amp;I can cause surcharging and sanitary sewer overflows.</t>
  </si>
  <si>
    <t>Identify potential sewer and manhole damage from surface evidence such as cracked pavement.</t>
  </si>
  <si>
    <t>Identify and assess bellies, sags, offset joints, and cracks in collection system pipes.</t>
  </si>
  <si>
    <t>Identify and assess protruding taps, horizontal bores through pipes, and roots as three types of blockages in sewer pipes.</t>
  </si>
  <si>
    <t>Describe the components of a successful grease control program.</t>
  </si>
  <si>
    <t>Complete a manhole inspection form and list possible causes of grit and/or water accumulation in manholes.</t>
  </si>
  <si>
    <t>Assess potential for sewer damage and presence of cross-connections with smoke testing.</t>
  </si>
  <si>
    <t>Understand the principals behind dye testing and its use in proving a positive connection.</t>
  </si>
  <si>
    <t>Evaluate footage from CCTV sewer line inspections.  Code and rate various types of deficiencies depending on severity.  List steps for start up and shut down of CCTV cameras.</t>
  </si>
  <si>
    <t>Explain how hydraulic jetting of sewers is performed with an emphasis of selecting the correct jet head for the task at hand.</t>
  </si>
  <si>
    <t>Explain the basic function of bucket machines and list their advantages and disadvantages.</t>
  </si>
  <si>
    <t>Explain the basic function of rodding machines and identify which types of blockages are best suited to rodding machines.</t>
  </si>
  <si>
    <t>Discuss the basic principles behind sewer balling and the potential for flooding service lines.</t>
  </si>
  <si>
    <t>Objective_10</t>
  </si>
  <si>
    <t>Start</t>
  </si>
  <si>
    <t>End</t>
  </si>
  <si>
    <t>Registration</t>
  </si>
  <si>
    <t>Break</t>
  </si>
  <si>
    <t>Basic Math</t>
  </si>
  <si>
    <t>Lunch</t>
  </si>
  <si>
    <t>Activated Sludge - Part 1</t>
  </si>
  <si>
    <t>Activated Sludge - Part 2</t>
  </si>
  <si>
    <t>Advanced Math</t>
  </si>
  <si>
    <t>Nitrogen Removal</t>
  </si>
  <si>
    <t>Phosphorus Removal</t>
  </si>
  <si>
    <t>Solids Digestion - Part 1</t>
  </si>
  <si>
    <t>Solids Digestion - Part 2</t>
  </si>
  <si>
    <t>Dewatering - Part 1 (Centrifuges)</t>
  </si>
  <si>
    <t>Dewatering - Part 2 (BFPs)</t>
  </si>
  <si>
    <t>Applied Biosolids Math</t>
  </si>
  <si>
    <t>Total TUs Attainable</t>
  </si>
  <si>
    <t>Day 1</t>
  </si>
  <si>
    <t>Day 2</t>
  </si>
  <si>
    <t>Day 3</t>
  </si>
  <si>
    <t>Total TUs for Day 1</t>
  </si>
  <si>
    <t>Total TUs for Day 2</t>
  </si>
  <si>
    <t>Total TUs for Day 3</t>
  </si>
  <si>
    <t>Brochure:</t>
  </si>
  <si>
    <t>https://www.indigowatergroup.com/wp-content/uploads/2021/04/2021-Exam-Cram-Brochure.pdf</t>
  </si>
  <si>
    <t>This is part of a series of on-line training classes taught from ACRP's book "Introduction to Small Water Systems".  This presentation reviews the major components of distribution systems including pipes and materials, valves, hydrants, storage reservoirs, meters, and curb stops. The concept of cross connections is introduced and the various methods for avoiding a cross connection are defined (air gap, vacuum breaker, etc.).</t>
  </si>
  <si>
    <t>OEPA-D88681194-OM</t>
  </si>
  <si>
    <t>OEPA-D88681133-OM</t>
  </si>
  <si>
    <t>S. Innerebner, PhD, PE</t>
  </si>
  <si>
    <t>Eric Wahlberg, PhD, PE</t>
  </si>
  <si>
    <t>Innerebner &amp; Flowers</t>
  </si>
  <si>
    <t>Colorado Approval No.
2022</t>
  </si>
  <si>
    <t>Laboratory Procedures</t>
  </si>
  <si>
    <t>Laboratory - pH, Alkalinity, and Hardness</t>
  </si>
  <si>
    <t>Laboratory - Proper Use of Spectrophotometers (QA/QC)</t>
  </si>
  <si>
    <t>Laboratory - Total Suspended Solids</t>
  </si>
  <si>
    <t>Laboratory - Chlorine Residual by DPD</t>
  </si>
  <si>
    <t>ALL-006</t>
  </si>
  <si>
    <t>ALL-009</t>
  </si>
  <si>
    <t>ALL-010</t>
  </si>
  <si>
    <t>WWT-002</t>
  </si>
  <si>
    <t>WWT-026</t>
  </si>
  <si>
    <t>LAB-001</t>
  </si>
  <si>
    <t>LAB-002</t>
  </si>
  <si>
    <t>LAB-003</t>
  </si>
  <si>
    <t>LAB-004</t>
  </si>
  <si>
    <t>LAB-005</t>
  </si>
  <si>
    <t>LAB-006</t>
  </si>
  <si>
    <t>LAB-007</t>
  </si>
  <si>
    <t>LAB-008</t>
  </si>
  <si>
    <t>LAB-009</t>
  </si>
  <si>
    <t>LAB-010</t>
  </si>
  <si>
    <t>Follow the order of operations to solve equations.</t>
  </si>
  <si>
    <t xml:space="preserve">This presentation discusses hydraulic principles as they relate to pump operation. The presentation begins with a thorough discussion of total dynamic head and each of its components, the difference between suction lift and suction head, and how to calculate major and minor losses in a system. The second portion of the talk discusses work, power, and energy, how each is calculated, and the cost of running a piece of equipment. The presentation continues with a discussion of discharge velocity from a centrifugal pump, calculating impeller diameter, and the pump affinity laws. Attendees will learn to predict pump output, brake horsepower, amp draw, and discharge head from changes to either the pump speed or impeller diameter. </t>
  </si>
  <si>
    <t>Explain the mechanisms behind disinfection byproduct formation.  Apply knowledge of DBP formation and critical operating parameters to limit DBP formation during wastewater and drinking water treatment and in the distribution system.</t>
  </si>
  <si>
    <t xml:space="preserve">This course covers confined space entry requirements according to OSHA.  Attendees will learn the difference between confined spaces and permit required confined spaces, when confined space entry permits are required, some of the hazards that may be encountered in a confined space, what constitutes a safe entry condition, and how to complete the entry permit and safely participate in a confined space entry. </t>
  </si>
  <si>
    <t>Describe the major components of dry pt and wet pit lift stations including four different methods of level control.</t>
  </si>
  <si>
    <t>Identify different types of valves that may be present in a typical lift station and give the purpose of each.</t>
  </si>
  <si>
    <t>List routine maintenance tasks and their recommended frequency.</t>
  </si>
  <si>
    <t>Understand why the flow output from two pumps discharging into the same force main will be slightly less than the sum of the flows when each pump is operating independently.</t>
  </si>
  <si>
    <t>Understand that municipal wastewater plants have three types of capacity: hydraulic, organic, and solids handling and that each type of capacity must be protected from industrial discharges.</t>
  </si>
  <si>
    <t>Understand the potential impacts of industrial wastestreams on municipal wastewater treatment plants and the need for a pretreatment program.</t>
  </si>
  <si>
    <t>Explain the concept of local limits and give two specific examples of why a local limit may be needed.</t>
  </si>
  <si>
    <t>Discuss enforcement mechanisms available when an industrial user is in significant non-compliance.</t>
  </si>
  <si>
    <t>Discuss the potential for prohibited discharges, pass-through, and interference from industrial discharges.</t>
  </si>
  <si>
    <t>Identify when a WWTP might be required to have a formal pretreatment program.</t>
  </si>
  <si>
    <t>Categorize dischargers as significant, categorical, or non-significant.</t>
  </si>
  <si>
    <t>Describe the voluntary pollution prevention program and compare and contrast it to the Federal Pretreatment Program giving pros and cons for each.</t>
  </si>
  <si>
    <t>Identify all of the different components of a manhole; bench, riser, base, etc.</t>
  </si>
  <si>
    <t>Locate known and lost manholes and perform a basic inspection.</t>
  </si>
  <si>
    <t>List four items of concern in a manhole interior.</t>
  </si>
  <si>
    <t>Explain why hydrogen sulfide is generated in sewers and describe at least three methods for mitigating its formation or controlling gas phase concentrations.</t>
  </si>
  <si>
    <t>Describe three different methods for mitigating inflow and infiltration in manholes.  Match methods to the type of inflow.</t>
  </si>
  <si>
    <t>Understand why algae blooms occur in reservoirs and how to control / mitigate them.</t>
  </si>
  <si>
    <t>Recognize differences in water quality characteristics between groundwater and surface water sources.</t>
  </si>
  <si>
    <t>List the different types of aquifers and the properties of each.</t>
  </si>
  <si>
    <t>Understand how permeability and soil types relate to groundwater movement and well production.</t>
  </si>
  <si>
    <t>Define the cone of depression, specific yield, zone of influence, draw down, and operating level.</t>
  </si>
  <si>
    <t>List well components and give the function of each.</t>
  </si>
  <si>
    <t>Understand that well heads must be protected from contamination by a combination of physical barriers.</t>
  </si>
  <si>
    <t>Compare and contrast the different types of pumps that may be used in wells.</t>
  </si>
  <si>
    <t>Understand that surface water treatment uses a multi-barrier approach to protect public health.</t>
  </si>
  <si>
    <t>List the four steps of conventional drinking water treatment and describe each.</t>
  </si>
  <si>
    <t>Understand the need for jar testing and interpret jar testing results.</t>
  </si>
  <si>
    <t>Describe how membranes work and explain how they differ from other filtration processes.</t>
  </si>
  <si>
    <t>List the characteristics of chlorine gas and the compounds formed when gaseous chlorine and sodium hypochlorite react with water.</t>
  </si>
  <si>
    <t>Explain the purpose of a fusible plug and give the melt temperature.</t>
  </si>
  <si>
    <t>Discuss the breakpoint chlorination curve and describe in detail the chemical reactions taking place at each stage of the curve.</t>
  </si>
  <si>
    <t>Explain regulatory requirements for chlorine leaks, how to detect a chlorine leak, and the three types of repair kits.</t>
  </si>
  <si>
    <t>Calculate dose, demand, residual, and feed rate.</t>
  </si>
  <si>
    <t>Understand minimum contact times and how they are affected by temperature and pH.</t>
  </si>
  <si>
    <t>Describe the steps involved in changing out a chlorine gas cylinder.</t>
  </si>
  <si>
    <t>2022 MATH-000 Strategies Final Quiz</t>
  </si>
  <si>
    <t>2022 MATH-001 Unit Conversions Final Quiz</t>
  </si>
  <si>
    <t>2022 MATH-002 Geometry Final Quiz</t>
  </si>
  <si>
    <t>2022 MATH-004 Velocity Final Quiz</t>
  </si>
  <si>
    <t>2022 ALL-001 Pumps Final Quiz</t>
  </si>
  <si>
    <t>2022 ALL-002 Hydraulics Basics Final Quiz</t>
  </si>
  <si>
    <t>2022 SAF-001 Trenching and Shoring Final Quiz</t>
  </si>
  <si>
    <t>2022 SAF-002 Confined Space Entry Final Quiz</t>
  </si>
  <si>
    <t>2022 COL-001 Intro to Collections Final Quiz</t>
  </si>
  <si>
    <t>2022 COL-002 Collections Inspect Final Quiz</t>
  </si>
  <si>
    <t>2022 COL-003 Collections Clean Final Quiz</t>
  </si>
  <si>
    <t>2022 COL-004 Lift Stations Final Quiz</t>
  </si>
  <si>
    <t>2022 COL-005 Pretreatment Final Quiz</t>
  </si>
  <si>
    <t>2022 COL-006 Manholes Final Quiz</t>
  </si>
  <si>
    <t>2022 WWT-001 Intro to WW Final Quiz</t>
  </si>
  <si>
    <t>2022 WWT-002 WW Characteristics Final Quiz</t>
  </si>
  <si>
    <t>2022 WWT-018 Clarifiers Final Quiz</t>
  </si>
  <si>
    <t>2022 MATH-005 Geometry and Velocity Final Quiz</t>
  </si>
  <si>
    <t>2022 MATH-006 Dilutions and Blending Final Quiz</t>
  </si>
  <si>
    <t>2022 ALL-003 Pump Hydraulics Final Quiz</t>
  </si>
  <si>
    <t>2022 ALL-005 Corrosion Final Quiz</t>
  </si>
  <si>
    <t>2022 ALL-006 Maintenance Final Quiz</t>
  </si>
  <si>
    <t>2022 ALL-007 Electrical Final Quiz</t>
  </si>
  <si>
    <t>2022 ALL-008 Sampling Final Quiz</t>
  </si>
  <si>
    <t>2022 ALL-004 Aeration Systems Final Quiz</t>
  </si>
  <si>
    <t>2022 ALL-009 DBPs Final Quiz</t>
  </si>
  <si>
    <t>2022 ALL-010 Chemical Handling Final Quiz</t>
  </si>
  <si>
    <t>2022 WWT-003 Preliminary Treatment Final Quiz</t>
  </si>
  <si>
    <t>2022 WWT-004 Primary Treatment Final Quiz</t>
  </si>
  <si>
    <t>2022 WWT-005 Biological Treatment Basics Final Quiz</t>
  </si>
  <si>
    <t>2022 WWT-006 Fixed Film Final Quiz</t>
  </si>
  <si>
    <t>2022 WWT-007 Lagoons and Wetlands Final Quiz</t>
  </si>
  <si>
    <t>2022 WWT-008 Lagoons and FF Final Quiz</t>
  </si>
  <si>
    <t>2022 WWT-009 AS Basics Final Quiz</t>
  </si>
  <si>
    <t>2022 WWT-010 AS Mechanical Final Quiz</t>
  </si>
  <si>
    <t>2022 WWT-014 AS Types Final Quiz</t>
  </si>
  <si>
    <t>2022 WWT-015 SBR Final Quiz</t>
  </si>
  <si>
    <t>2022 WWT-016 Nitrogen Removal Final Quiz</t>
  </si>
  <si>
    <t>2022 WWT-017 Phosphorus Removal Final Quiz</t>
  </si>
  <si>
    <t>2022 WWT-019 AS Process Tests Final Quiz</t>
  </si>
  <si>
    <t>2022 WWT-020 Chlorine Disinfection Final Quiz</t>
  </si>
  <si>
    <t>2022 WWT-021 UV Disinfection Final Quiz</t>
  </si>
  <si>
    <t>2022 WWT-022 Intro to 503 Regs Final Quiz</t>
  </si>
  <si>
    <t>2022 WWT-023 Digestion Final Quiz</t>
  </si>
  <si>
    <t>2022 WWT-024 Belt Filter Presses Final Quiz</t>
  </si>
  <si>
    <t>2022 WWT-025 Centrifuges Final Quiz</t>
  </si>
  <si>
    <t>2022 WWT-026 Odor Control Final Quiz</t>
  </si>
  <si>
    <t>2022 WWT-027 Metals Precip Final Quiz</t>
  </si>
  <si>
    <t>2022 Post-Quiz for Wastewater MRT</t>
  </si>
  <si>
    <t>2022 WAT-001 Intro to Small Water Systems Final Quiz</t>
  </si>
  <si>
    <t>2022 WAT-002 Sources Part 1 Final Quiz</t>
  </si>
  <si>
    <t>2022 WAT-003 Sources Part 2 Final Quiz</t>
  </si>
  <si>
    <t>2022 WAT-004 Drinking Water Treatment Final Quiz</t>
  </si>
  <si>
    <t>2022 WAT-005 Drinking Water Disinfection Final Quiz</t>
  </si>
  <si>
    <t>2022 WAT-007 Distribution Final Quiz</t>
  </si>
  <si>
    <t>2022 Post-Quiz for Drinking Water MRT</t>
  </si>
  <si>
    <t>2022 WAT-008 Corr Lab Final Quiz</t>
  </si>
  <si>
    <t>2022 LAB-001 Chemistry Final Quiz</t>
  </si>
  <si>
    <t>2022 LAB-002 pH Alk Hard Final Quiz</t>
  </si>
  <si>
    <t>2022 LAB-003 TDS Cond Turb Final Quiz</t>
  </si>
  <si>
    <t>2022 LAB-004 Laboratory TSS Final Quiz</t>
  </si>
  <si>
    <t>2022 LAB-005 Spectrophotometers Final Quiz</t>
  </si>
  <si>
    <t>2022 LAB-006 Chlorine Residual</t>
  </si>
  <si>
    <t>2022 LAB-007 Spectroscopic Tests</t>
  </si>
  <si>
    <t>2022 LAB-008 Ion-Selective Electrodes</t>
  </si>
  <si>
    <t>2022 LAB-009 Laboratory BOD Final Quiz</t>
  </si>
  <si>
    <t>2022 LAB-010 Laboratory Fecals Final Quiz</t>
  </si>
  <si>
    <t>Final Quiz Name - 2022</t>
  </si>
  <si>
    <t>1.0 TC</t>
  </si>
  <si>
    <t>0.5 TC</t>
  </si>
  <si>
    <t>1.5 TC</t>
  </si>
  <si>
    <t>2.0 TC</t>
  </si>
  <si>
    <t>2.5 TC</t>
  </si>
  <si>
    <t>3.0 TC</t>
  </si>
  <si>
    <t>New Mexico
TC</t>
  </si>
  <si>
    <t>List the steps in the hydrologic cycle and briefly describe each.</t>
  </si>
  <si>
    <t>Define groundwater, surface water, and groundwater under direct influence of surface water.  List some properties of each.</t>
  </si>
  <si>
    <t>Explain why water usage tends to have a diurnal pattern.</t>
  </si>
  <si>
    <t>List the goals of all water treatment and distribution systems: to protect public health by providing water that is reliable, safe (potable), and palatable.</t>
  </si>
  <si>
    <t>Define log removal.</t>
  </si>
  <si>
    <t>Explain how water systems are classified and define what constitutes a public water system, community water system, and non-community water system.</t>
  </si>
  <si>
    <t xml:space="preserve">This is part 3 of a series of on-line training classes taught from ACRP's book "Introduction to Small Water Systems".  Water Sources is broken into two on-line training courses labeled as Part 1 and Part 2.  These two courses look at water sources; ground and surface, and the advantages and disadvantages of each.  Other topics explored in these two presentations include:  raw water storage (reservoirs and tanks), surface water intake types, flow measurement (weirs and flumes), aquifer terminology (confined, unconfined, artesian, zones, porosity, etc.), well location criteria, well components, and turbine pumps. </t>
  </si>
  <si>
    <t>List the major categories of water usage in the United States.</t>
  </si>
  <si>
    <t>This is part 4 of a series of on-line training classes taught from ACRP's book "Introduction to Small Water Systems".  Water Treatment is broken into two on-line training courses labeled as Part 1 and Part 2.  These two courses begin with a discussion of the need for treatment and the types of contaminants removed before moving on to look at an overview of the three primary methods of surface water treatment (conventional, direct filtration, and membrane treatment).  Each step of conventional treatment (coagulation, flocculation, sedimentation, and filtration) are explained at an overview level.  Jar testing and determining optimal coagulant doses are also discussed.  Part 2 focuses on chlorine disinfection.</t>
  </si>
  <si>
    <t>Compare and contrast direct filter to conventional water treatment plants.</t>
  </si>
  <si>
    <t>This drinking water-focused presentation walks the participant through chlorine chemistry, the different forms of chlorine available for disinfection, and chlorine safety. This class devotes time to the safe handling of gaseous and liquid chlorine and reporting requirements under SARA Title III. The class covers recommended doses and contact times for various applications as well as the impact of water chemistry and temperature on disinfection.  CT calculations and HRT credits for various water tank configurations and disinfection byproduct formation are also discussed.</t>
  </si>
  <si>
    <t>List and describe the three types of distribution system layout.</t>
  </si>
  <si>
    <t>List the functions of water storage reservoirs and tank in the distribution system.</t>
  </si>
  <si>
    <t>Convert between feet of head and pounds per square inch.</t>
  </si>
  <si>
    <t>Discuss the different types of valves that may be present in distribution systems, what they are typically used for, and how they function.</t>
  </si>
  <si>
    <t>Explain how an altitude valve may be used to control water level in a tank.</t>
  </si>
  <si>
    <t>List the components of a typical customer service line and give the function of each.</t>
  </si>
  <si>
    <t>Define cross-connection, backflow, back siphonage, and back pressure.</t>
  </si>
  <si>
    <t>List the different types of cross connection control devices and explain how each works.</t>
  </si>
  <si>
    <t>Discuss the different types of fire hydrants and where they might be used.</t>
  </si>
  <si>
    <t>List the four components of the galvanic cell and explain why corrosion of similar and dissimilar metals occurs.</t>
  </si>
  <si>
    <t>Describe the 5 types of corrosion control accepted for use by EPA in water distribution systems.</t>
  </si>
  <si>
    <t>Properly conduct the following laboratory tests: chlorine residual, alkalinity, and hardness.</t>
  </si>
  <si>
    <t>Compare and contrast the Langelier Saturation Index (LSI) and Calcium Carbonate Precipitation Potential (CCWP) and how each can be used to predict corrosion or deposition in a water distribution system.</t>
  </si>
  <si>
    <t>Course Description</t>
  </si>
  <si>
    <t>Learning Objective 1</t>
  </si>
  <si>
    <t>Learning Objective 2</t>
  </si>
  <si>
    <t>Learning Objective 3</t>
  </si>
  <si>
    <t>Learning Objective 4</t>
  </si>
  <si>
    <t>Learning Objective 5</t>
  </si>
  <si>
    <t>Learning Objective 6</t>
  </si>
  <si>
    <t>Learning Objective 7</t>
  </si>
  <si>
    <t>Learning Objective 8</t>
  </si>
  <si>
    <t>Learning Objective 9</t>
  </si>
  <si>
    <t>Learning Objective 10</t>
  </si>
  <si>
    <t>Learning Objective 11</t>
  </si>
  <si>
    <t>Learning Objective 12</t>
  </si>
  <si>
    <t>Objective_11</t>
  </si>
  <si>
    <t>Objective_12</t>
  </si>
  <si>
    <t>22-05990-001</t>
  </si>
  <si>
    <t>22-05988-001</t>
  </si>
  <si>
    <t>22-05987-001</t>
  </si>
  <si>
    <t>22-05986-002</t>
  </si>
  <si>
    <t>22-05985-002</t>
  </si>
  <si>
    <t>22-05984-002</t>
  </si>
  <si>
    <t>22-05983-002</t>
  </si>
  <si>
    <t>Ohio Approval No. 
(Pre Nov 2021)</t>
  </si>
  <si>
    <t>OH_Approval_Number_New</t>
  </si>
  <si>
    <t>OH_Approval_Number_Old</t>
  </si>
  <si>
    <t>OH_Hours_New</t>
  </si>
  <si>
    <t>WY_Area</t>
  </si>
  <si>
    <t>CO_Number_2022</t>
  </si>
  <si>
    <t>Quiz_2022</t>
  </si>
  <si>
    <t>TU_Calcs</t>
  </si>
  <si>
    <t>22-07222-001</t>
  </si>
  <si>
    <t>22-06696-001</t>
  </si>
  <si>
    <t>22-06672-001</t>
  </si>
  <si>
    <t>22-06617-001</t>
  </si>
  <si>
    <t>22-06342-001</t>
  </si>
  <si>
    <t>22-06046-002</t>
  </si>
  <si>
    <t>22-06038-001</t>
  </si>
  <si>
    <t>22-06037-001</t>
  </si>
  <si>
    <t>22-06036-001</t>
  </si>
  <si>
    <t>22-06035-001</t>
  </si>
  <si>
    <t>22-06033-001</t>
  </si>
  <si>
    <t>22-06032-001</t>
  </si>
  <si>
    <t>22-06840-002</t>
  </si>
  <si>
    <t>22-07363-001</t>
  </si>
  <si>
    <t>22-07362-001</t>
  </si>
  <si>
    <t>22-06030-001</t>
  </si>
  <si>
    <t>22-06029-001</t>
  </si>
  <si>
    <t>22-06026-001</t>
  </si>
  <si>
    <t>22-06025-001</t>
  </si>
  <si>
    <t>22-06024-001</t>
  </si>
  <si>
    <t>22-06023-001</t>
  </si>
  <si>
    <t>22-06020-001</t>
  </si>
  <si>
    <t>22-06019-001</t>
  </si>
  <si>
    <t>22-06018-001</t>
  </si>
  <si>
    <t>22-06017-001</t>
  </si>
  <si>
    <t>Laboratory - Jar Testing</t>
  </si>
  <si>
    <t>22-06016-001</t>
  </si>
  <si>
    <t>22-06015-001</t>
  </si>
  <si>
    <t>22-06012-001</t>
  </si>
  <si>
    <t>22-06010-001</t>
  </si>
  <si>
    <t>22-06009-001</t>
  </si>
  <si>
    <t>22-06008-001</t>
  </si>
  <si>
    <t>22-06007-001</t>
  </si>
  <si>
    <t>22-06006-001</t>
  </si>
  <si>
    <t>22-06004-001</t>
  </si>
  <si>
    <t>22-06005-001</t>
  </si>
  <si>
    <t>22-06003-001</t>
  </si>
  <si>
    <t>22-06001-002</t>
  </si>
  <si>
    <t>22-05998-001</t>
  </si>
  <si>
    <t>22-06000-002</t>
  </si>
  <si>
    <t>22-05999-001</t>
  </si>
  <si>
    <t>22-05997-001</t>
  </si>
  <si>
    <t>22-05996-001</t>
  </si>
  <si>
    <t>22-05993-001</t>
  </si>
  <si>
    <t>22-05992-001</t>
  </si>
  <si>
    <t>22-05991-001</t>
  </si>
  <si>
    <t>22-05994-001</t>
  </si>
  <si>
    <t>22-06022-002</t>
  </si>
  <si>
    <t>22-06034-002</t>
  </si>
  <si>
    <t>22-06743-002</t>
  </si>
  <si>
    <t>22-06039-001</t>
  </si>
  <si>
    <t>22-06028-001</t>
  </si>
  <si>
    <t>LAB-011</t>
  </si>
  <si>
    <t>NV_Drinking Water Approval</t>
  </si>
  <si>
    <t>Nevada Drinking Water Hours</t>
  </si>
  <si>
    <t>Kansas Approval Number</t>
  </si>
  <si>
    <t>Kansas Water Hours</t>
  </si>
  <si>
    <t>Kansas Wastewater Hours</t>
  </si>
  <si>
    <t>KS_Approval</t>
  </si>
  <si>
    <t>KS_Water</t>
  </si>
  <si>
    <t>KS_Wastewater</t>
  </si>
  <si>
    <t>KS_Audience</t>
  </si>
  <si>
    <t>Kansas Audience</t>
  </si>
  <si>
    <t>MASS_Approval</t>
  </si>
  <si>
    <t>MASS_TCH</t>
  </si>
  <si>
    <t>MASS_Audience</t>
  </si>
  <si>
    <t>Massachusettes Approval</t>
  </si>
  <si>
    <t>Massachusettes Training Contact Hours</t>
  </si>
  <si>
    <t>Massachusettes Audience</t>
  </si>
  <si>
    <t>WWT-030</t>
  </si>
  <si>
    <t>WY_Core</t>
  </si>
  <si>
    <t>Wyoming Core Hours</t>
  </si>
  <si>
    <t>2022 WWT-011 AS Top 10 Final Quiz</t>
  </si>
  <si>
    <t>NM_Hours</t>
  </si>
  <si>
    <t>New Mexico Hours</t>
  </si>
  <si>
    <t>placeholder</t>
  </si>
  <si>
    <t>S/S</t>
  </si>
  <si>
    <t>22-06011-001</t>
  </si>
  <si>
    <t>2022 WWT-029 Permit Limits Final Quiz</t>
  </si>
  <si>
    <t>22-07639-001</t>
  </si>
  <si>
    <t>22-05995-002</t>
  </si>
  <si>
    <t>--</t>
  </si>
  <si>
    <t>Classify bacteria according to their preferred oxygen and carbon sources:  hetertroph vs autotroph and obligate aerobe vs facultative vs anaerobic.  Understand the goals of secondary treatment.</t>
  </si>
  <si>
    <t>Understand the goals of preliminary and primary treatment.  Identify major pieces of equipment and unit processes associated with preliminary and primary treatment.</t>
  </si>
  <si>
    <t>List the goals of solids digestion: reduce volume of sludge for disposal and reduce the number of pathogens.</t>
  </si>
  <si>
    <t>Understand the purpose of dewatering and list three types of equipment that may used for dewatering.</t>
  </si>
  <si>
    <t>Describe the three main types of secondary treatment systems: lagoons, fixed film, and activated sludge.  Identify the major unit processes and pieces of equipment associated with each.</t>
  </si>
  <si>
    <t>Understand that activated sludge systems come in many different varieties, but they are all based on the same fundamental principals of biological treatment.</t>
  </si>
  <si>
    <t>Distinguish between disinfection and sterilization.  List the two major types of disinfection used in wastewater treatment.</t>
  </si>
  <si>
    <t>Utilize per capita generation rates to estimate influent concentrations for different parameters.  Understand that when solids leave in the final effluent, BOD, nitrogen, and phosphorus are also leaving.</t>
  </si>
  <si>
    <t>Calculate an estimated average daily flow and peak hour flow for a service area given population served.</t>
  </si>
  <si>
    <t>Explain the differences between BOD, cBOD, NOD, and COD.</t>
  </si>
  <si>
    <t>Determine whether or not a wastewater is more or less likely to have an industrial component based on the COD to cBOD ratio.</t>
  </si>
  <si>
    <t>Understand that solids are classified by their size (particulate versus soluble) and whether or not they are volatile.</t>
  </si>
  <si>
    <t>Analyze influent and effluent data for internal consistency using typical ratios of COD to cBOD to TSS.  Identify the likely out-of-range component.</t>
  </si>
  <si>
    <t>Given laboratory results in mg/L of ammonia, nitrate, or nitrite, convert each so they are expressed as N (e.g. NH3-N).  Convert between PO4= and PO4 as P.</t>
  </si>
  <si>
    <t>List the different groups of bacteria present in biological treatment systems.</t>
  </si>
  <si>
    <t>Describe the growth requirements for each group of bacteria (energy source, carbon source, oxygen source).</t>
  </si>
  <si>
    <t>Define biological treatment terms: heterotroph, autotroph, anaerobic, anoxic, aerobic, floc former, filament former, half-saturation coefficient, maximum growth rate, and yield.</t>
  </si>
  <si>
    <t>Predict how a bacteria will behave based on its environmental conditions.</t>
  </si>
  <si>
    <t>Perform process control calcuations for trickling filters including organic loading rate, hydraulic wetting rate, and percent removal.  Classify trickling filters by treatment goals and loading rates.</t>
  </si>
  <si>
    <t>Understand the importance of hydraulic wetting rate in biofilm formation and mitigation of predators.</t>
  </si>
  <si>
    <t>List characteristics of various types of ttrickling filter media including rock, dump, vertical flow and cross-flow.</t>
  </si>
  <si>
    <t>Discuss how air flows through a trickling filter using natural and forced air ventilation and the impact of air temperature on natural ventilation.</t>
  </si>
  <si>
    <t>Compare and contrast the differences and similarities between trickling filters and rotating biological contactors.</t>
  </si>
  <si>
    <t>Identify major components of trickling filters and give the function of each.</t>
  </si>
  <si>
    <t>Determine the most likely cause of various lagoon operational problems. (troubleshooting)</t>
  </si>
  <si>
    <t>Describe the major components of a constructed wetland and the function of each.</t>
  </si>
  <si>
    <t>List typical effluent concentrations from a constructed wetland including BOD, TSS, ammonia, nitrate, and E. coli.</t>
  </si>
  <si>
    <t>Explain how heat is retained in the wetland to prevent freezing and promote biological treatment.</t>
  </si>
  <si>
    <t>Implement barley straw addition program for algae control in lagoons systems.</t>
  </si>
  <si>
    <t>Perform required maintenance tasks for subsurface flow wetlands and explain why different types of maintenance are required.</t>
  </si>
  <si>
    <t>Explain why turnover happens in pond systems and how the AIPS process mitigates turnover effects.</t>
  </si>
  <si>
    <t>Describe the three main types of ponds (aerobic, facultative, and anaerobic), features of each, and the biological reactions taking place.</t>
  </si>
  <si>
    <t>Classify trickling filters by treatment goals and loading rates.</t>
  </si>
  <si>
    <t>Predict the effect of increasing or decreasing sludge age on other process control variables including MLSS concentration, MLVSS concentration, F:M ratio, and wasting rate. Calculate process control variables from plant data.</t>
  </si>
  <si>
    <t>Perform a Gram or Neisser Stain and interpret results to correctly identify which filament is dominant in an activated sludge process.</t>
  </si>
  <si>
    <t>Match specific filament types to their underlying causes including H. hydrosis, M. parvicella, and Type 21N.</t>
  </si>
  <si>
    <t>Understand that different filaments grow and become dominant under different operating conditions.  Given a filament type, determine the most likely cause of growth.</t>
  </si>
  <si>
    <t>List three different things that the return activated sludge (RAS) and waste activated sludge (WAS) each control.</t>
  </si>
  <si>
    <t>Describe how hydraulic and solids loading parameters are calculated for secondary clarifiers and the relative importance of each.</t>
  </si>
  <si>
    <t>List at least three groups of microorganisms present in activated sludge and describe the conditions that promote their growth.</t>
  </si>
  <si>
    <t>Discuss differences between different types of activated sludge processes (complete mix, step feed, oxidation ditch, pureox, etc.) and understand that they are all based on the same underlying biologial principals.</t>
  </si>
  <si>
    <t>Understand that activated sludge microbiology determines sludge settleability and the need to balance floc formers and filament formers.</t>
  </si>
  <si>
    <t>Classify bacteria according to morphology, growth pattern, carbon source, and oxygen source.  Define heterotroph, autotroph, facultative, and obligate aerobe.</t>
  </si>
  <si>
    <t>Explain how faculative heterotropic bacteria and autotrophic bacteria will function in an anaerobic zone, anoxic zone, and aerated zone.</t>
  </si>
  <si>
    <t>Discuss the impact of filaments on activated sludge settleability and the need to balance the growth of filament formers and floc formers.</t>
  </si>
  <si>
    <t>Understand what may be controlled by manipulating the Return Activated Sludge (RAS) and Waste Activated Sludge (WAS) pumping rates.</t>
  </si>
  <si>
    <t>Select a target sludge age based on water temperature and nitrification requirements.</t>
  </si>
  <si>
    <t>Calculate process control variables associated with secondary clarifiers including surface overflow rate, weir loading rate, and solids loading rate.</t>
  </si>
  <si>
    <t>Demonstrate the relationships between sludge age (control variable) and its dependent process control variables of food to microorganism ratio, MLSS concentration, and MLVSS to MLSS ratio.</t>
  </si>
  <si>
    <t>Conduct three types of settleometer tests and interpret results.</t>
  </si>
  <si>
    <t>Discuss variations on the activated sludge process as combinations of a flow regiment (complete mix, plug flow, step feed, SBR) and an operating mode (conventional, extended aeration, PureOx) giving the dominant features of each.</t>
  </si>
  <si>
    <t>Describe the different types of clarifiers (circular, rectangular, squircle), the major components of clarifiers, and the functions of each component.</t>
  </si>
  <si>
    <t>List the functions of aerobic and anoxic zones for nitrification and denitrification.  Understand how biological nutrient removal processes have evolved to meet lower effluent nitrogen limits.</t>
  </si>
  <si>
    <t>Apply knowledge of denitrification stoichiometry to prevent denitrification from occurring in clarifier blankets.</t>
  </si>
  <si>
    <t>Adjust internal mixed liquor recycle ratios between aerobic and anoxic zones to maximize nitrification and denitrification.</t>
  </si>
  <si>
    <t>Identify sources and types of nitrogen species in the environment and domestic wastewater.</t>
  </si>
  <si>
    <t>Identify the two main groups of bacteria responsible for ammonia removal and their requirements for growth.</t>
  </si>
  <si>
    <t>Select a target mean cell residence time (MCRT) based on treatment goals and water temperature.</t>
  </si>
  <si>
    <t>Explain why effluent ammonia concentrations can be several mg/L even when complete nitrification is taking place.</t>
  </si>
  <si>
    <t>Discuss process variables that may affect nitrification including pH, alkalinity, and dissolved oxygen.</t>
  </si>
  <si>
    <t>Understand denitrification stoichiometry and the requirements for denitrification to take place.</t>
  </si>
  <si>
    <t>Discuss the impact of various operating variables on enhanced biological phosphorus removal performance including dissolved oxygen, pH, temperature, and hydraulic and solids retention times.</t>
  </si>
  <si>
    <t>Evaluate influent data to determine if the carbon source to phosphorus ratios might support enhanced biological phosphorus removal.</t>
  </si>
  <si>
    <t>Understand the basics of phosphorus precipitation chemistry and the concept of metal equivalent to P ratios to achieve certain effluent P goals.</t>
  </si>
  <si>
    <t>List three novel techniques for phosphorus removal.</t>
  </si>
  <si>
    <t>Understand the consequence of discharging excess phosphorus into the environment and the regulatory limitations being placed on phosphorus by EPA.</t>
  </si>
  <si>
    <t>List sources of phosphorus in municipal wastewater.  Convert between phosphorus as phosphate and phosphorus as P.</t>
  </si>
  <si>
    <t>Explain the concept of luxury phosphorus uptake and how phosphate accumulating organisms utilize poly-phosphate for energy storage.</t>
  </si>
  <si>
    <t>Understand that a secondary clarifier can only perform as well as the sludge quality sent to it.</t>
  </si>
  <si>
    <t>Calculate the maximum RAS concentration achievable by the secondary clarifier using settleometer results.  Optimize the RAS flow rate to achieve maximum thickness and keep blanket depth below 2 ft.</t>
  </si>
  <si>
    <t>Understand how changes in influent flow cause a typical clarifier to move between underloaded, overloaded and critically loaded conditions and what happens to the sludge blanket in each case.</t>
  </si>
  <si>
    <t>Calculate the predicted return activated sludge (RAS) concentration given the mixed liquor suspended solids (MLSS) concentration, influent flow, and RAS flow.</t>
  </si>
  <si>
    <t>Label each piece of a State Point Analysis graph and explain the origin of each piece and the information they convey.</t>
  </si>
  <si>
    <t>Explain why the RAS flow rate does not control the MLSS concentration.</t>
  </si>
  <si>
    <t>Explain how trend charts can be effective tools for process control and distinguish between trends and out-of-limit conditions.</t>
  </si>
  <si>
    <t>Understand that F:M, MLSS concentration, and SRT are inextricably linked and that good process control (SRT control) is essential for avoiding situations that require troubleshooting.</t>
  </si>
  <si>
    <t>Collect a clarifier core sample at the correct location to account for the volume of sludge in a conical bottom tank.</t>
  </si>
  <si>
    <t>Evaluate historic sludge volume index data for trends using a CUSUM (cumulative sum) chart to determine when changes in operating modes occurred.</t>
  </si>
  <si>
    <t>Conduct a sludge settleability test using a Mallory settleometer and interpret results from regular settleometer, diluted settleometer, and supernatant comparison tests.  Determine if effluent quality issues are related to sludge quality or a deficiency in the clarifier.</t>
  </si>
  <si>
    <t>Compare and contrast gravimetric total suspended solids results to centrifuge spin results.</t>
  </si>
  <si>
    <t>Conduct a specific oxygen uptake rate test on either activted sludge or an aerobic digester and interpret results.</t>
  </si>
  <si>
    <t>Apply a variety of techniques (mass balance, looking for differences, going back to basics) to troubleshoot operational problems.</t>
  </si>
  <si>
    <t>Explain the purpose of a fusible plug and recite the melt temperature.</t>
  </si>
  <si>
    <t>Describe the products formed when either sodium hypochlorite or calcium hypochlorite solution is mixed with water and the impact on alkalinity.</t>
  </si>
  <si>
    <t>Explain regulatory requirements for chlorine leaks, how to detect a chlorine leak, and the three types of chlorine repair kits.</t>
  </si>
  <si>
    <t>List the characteristics of chlorine gas and write the chemical formulas of the compounds formed when chlorine gas mixes with water.</t>
  </si>
  <si>
    <t>Select a sludge treatment process to produce either Class A or Class B biosolids and meet the vector attraction reduction requirement.</t>
  </si>
  <si>
    <t>List minimum sampling and analysis requirements for finished biosolids and land application sites.</t>
  </si>
  <si>
    <t>Understand that biosolids usage requires generators and anyone who changes biosolids quality to be permitted.</t>
  </si>
  <si>
    <t>Compare and contrast pathogen and contaminant levels allowed for Class A and Class B biosolids.</t>
  </si>
  <si>
    <t>Properly land apply or landfill finished biosolids in accordance with setback requirements and other restrictions.</t>
  </si>
  <si>
    <t>List typical gas production values for anaerobic digesters and give two reasons why digester gas has a lower heating value than natural gas.</t>
  </si>
  <si>
    <t>Describe anaerobic digester operation and the importance of various operating parameters including temperature and loading rate.</t>
  </si>
  <si>
    <t>Review operating data, compare to standard operating conditions, and diagnose the most likely cause for an upset condition.</t>
  </si>
  <si>
    <t>Understand the importance of managing high-ammonia recycle streams from anaerobic digestion and dewatering processes with respect to maintaining stable nitrification on the liquid stream side of the WWTP and preventing bleed-through of high ammonia to the final effluent.</t>
  </si>
  <si>
    <t>List the requirements for meeting Class A or Class B biosolids and vector attraction reduction requirements for land application of biosolids.</t>
  </si>
  <si>
    <t>Compare aerobic digestion to the activated sludge process and list two common operational issues and their solutions.</t>
  </si>
  <si>
    <t>Describe the major components of anaerobic digesters and the function of each.</t>
  </si>
  <si>
    <t>List each of the dewatering zones in a belt filter press and give the expected solids concentration at the end of each zone.</t>
  </si>
  <si>
    <t>Describe the major components of a belt filter press and give the function of each.</t>
  </si>
  <si>
    <t>Understand the three major classifications of polymers and flocculants and the procedure for optimizing polymer dose.</t>
  </si>
  <si>
    <t>Given an operational problem or operational data from a belt filter press, suggest the most likely cause and one other potential cause.  (Troubleshooting)</t>
  </si>
  <si>
    <t>Calculate process control parameters including: percent capture, total run time required, and quantity of finished cake produced.</t>
  </si>
  <si>
    <t>Calculate centrifuge loading rate and percent capture.</t>
  </si>
  <si>
    <t>Describe the major components of a centrifuge and give the function of each component as well as describing ancillary equipment.</t>
  </si>
  <si>
    <t>Explain typical startup and shutdown procedures for a centrifuge.</t>
  </si>
  <si>
    <t>Explain the impact of process control variables including: pond setting, making seal, differential speed, load control, and differential speed control.</t>
  </si>
  <si>
    <t>Troubleshoot common operational problems.</t>
  </si>
  <si>
    <t>Perform common maintenance tasks for a typical centrifuge.</t>
  </si>
  <si>
    <t>Compare and contrast the separation of solids in a centrifuge to secondary clarifier operation.  List the major components of the centrifuge and compare to the major components of a clarifier.</t>
  </si>
  <si>
    <t>Understand that most odor causing compounds in wastewater contain sulfur and are generated through biological activity.</t>
  </si>
  <si>
    <t>Be aware that some odors -- hydrogen sulfide and carbonyl sulfide -- are significant health and safety risks for wastewater workers.</t>
  </si>
  <si>
    <t>Describe methods for measuring odors and odor causing compounds listing them in order of least accurate to most accurate.</t>
  </si>
  <si>
    <t>Be familiar with multiple types of odor control technology including chemical addition, ventilation, carbon filters, biofilters, and air ionization.</t>
  </si>
  <si>
    <t>Understand that perception of odor is significantly different from one person to another.</t>
  </si>
  <si>
    <t>Given a list of heavy metals, determine which metals will be precipitated first when using hydroxide as the titrant.</t>
  </si>
  <si>
    <t>Describe the circumstances when sulfide precipitation, carbonate precipitation, and iron coprecipitation would be used/preferred over other types of precipitation chemistry.</t>
  </si>
  <si>
    <t>Be familiar with vocabulary terms associated with metals precipitation chemistry.</t>
  </si>
  <si>
    <t>Explain why hexavalent chromium must be converted to the trivalent form prior to precipitation.</t>
  </si>
  <si>
    <t>Explain what a chelating agent is and how it functions to sequester metals</t>
  </si>
  <si>
    <t>Understand cyanide destruction chemistry and why cyanide destruction must be done prior to hexavalent chromium removal.</t>
  </si>
  <si>
    <t>Understand that some limits are the same for all domestic facilities.</t>
  </si>
  <si>
    <t>Explain why water quality based standards vary from one stream segment to the next.</t>
  </si>
  <si>
    <t>Compare and contrast metals speciation - D, PD, TR, and T.</t>
  </si>
  <si>
    <t>Explain how discharge permit limits are influenced by water quality in the receiving stream and low flows.</t>
  </si>
  <si>
    <t>Understand that discharge permit limits may be further restricted by antidegradation.</t>
  </si>
  <si>
    <t>Using water quality policy 20, determine sampling frequency requirements based on past permit compliance.</t>
  </si>
  <si>
    <t>Discuss the limitations of spectrophotometers and the concept of a method detection limit.</t>
  </si>
  <si>
    <t>Select appropriate quality assurance and quality control samples for a given analysis.  Explain the purpose behind each type of QA/QC sample and the information gained by analyzing them.</t>
  </si>
  <si>
    <t>Understand that the visible spectrum, colors of light, are dependent on their wavelength.</t>
  </si>
  <si>
    <t>Explain Beer's Law and why samples must be diluted and reanalyzed when they are over the calibrated linear range.</t>
  </si>
  <si>
    <t>Understand the historical and theoretical basis for the BOD test: a bulk estimate of organic content.</t>
  </si>
  <si>
    <t>Calculate BOD results from raw analytical data and evaluate results from QA/QC samples.</t>
  </si>
  <si>
    <t>Correctly set up testing for biochemical oxygen demand including all required and recommended quality assurance and quality control samples.  Explain why each step of the procedure is necessary.</t>
  </si>
  <si>
    <t>Correctly set up a fecal coliform analysis using the most probable number (MPN) method including both presumptive and confirmation steps with all required quality assurance and quality control samples.  Calculate results from raw laboratory data.</t>
  </si>
  <si>
    <t>Discuss the concept of an indicator organism and list at least three properties of a good indicator.</t>
  </si>
  <si>
    <t>Compare and contrast Most Probable Number and Membrane Filtration methods of fecal coliform analysis.  Explain the meaning of MPN/100 mL versus #CFU per 100 mL.</t>
  </si>
  <si>
    <t>Correctly set up a fecal coliform analysis using the membrane filtration method including all required quality assurance and quality control samples.</t>
  </si>
  <si>
    <t>Calculate results for a membrane filtration fecal coliform test.  Interpret results from quality assurance and quality control samples and take corrective action.</t>
  </si>
  <si>
    <t>These method specific talks cover a variety of laboratory testing procedures used in water and wastewater labs.  Each method has its own one hour powerpoint presentation with lots of photographs walking analysts through procedures step by step.  Appropriate QA/QC samples for each method are discussed as well as what to do when QA samples are out of limits.  Each presentation references back to EPA 200 series methods and Standard Methods.</t>
  </si>
  <si>
    <t xml:space="preserve">This course walks attendees through the theory behind the pH, alkalinity, and hardness laboratory tests.  Attendees will learn why alkalinity and hardness are both expressed as mg/L of calcium carbonate.  Each procedure is presented step-by-step in accordance with the requirements and guidelines set forth in Standard Methods including required quality assurance and quality control samples. </t>
  </si>
  <si>
    <t>Define pH, alkalinity, and hardness.</t>
  </si>
  <si>
    <t>Explain why alkalinity and hardness are both expressed as mg/L of calcium carbonate.</t>
  </si>
  <si>
    <t>Conduct pH, alkalinity, and hardness tests on water and wastewater samples.</t>
  </si>
  <si>
    <t>List the required QA/QC samples for each test method.</t>
  </si>
  <si>
    <t>Explain how different types of electric motors function.</t>
  </si>
  <si>
    <t>Identify the major components of different types of electric motors.</t>
  </si>
  <si>
    <t>Explain why switching two leads on a three-phase motor can change the direction of rotation.</t>
  </si>
  <si>
    <t>Describe how electromagnets, switches, contactors, starters, and transformers function.</t>
  </si>
  <si>
    <t>Understand the different types of residuals.</t>
  </si>
  <si>
    <t>Explain why it is possible to get the same total chlorine result at three different points on the breakpoint chlorination curve.</t>
  </si>
  <si>
    <t>Analyze samples for free or total chlorine using the DPD test method.</t>
  </si>
  <si>
    <t>List the required QA/QC samples and the information gained by analyzing each type.</t>
  </si>
  <si>
    <t xml:space="preserve">This course covers residual chlorine analysis using either the total chlorine residual OR free chlorine residual DPD method using a hand-held pocket colorimeter.  The procedure is presented step-by-step in accordance with the requirements and guidelines set forth in Standard Methods including required quality assurance and quality control samples.  This course includes a discussion of DPD chemistry, the breakpoint chlorination curve, formation of chloramines, and the differences between the total and free chlorine residual tests.  The course concludes with a discussion of required QA/QC samples.  </t>
  </si>
  <si>
    <t>IWG-B6007-OM</t>
  </si>
  <si>
    <t>Activated sludge has 7 variables that are critical for process control: waste activated sludge (WAS), return activated sludge (RAS), sludge age (MCRT, SRT, and SRTaerobic), food to microorganism ratio (F:M), dissolved oxygen concentration, oxidation reduction potential (ORP), and internal mixed liquor recycle (IMLR).  This course walks attendees through what each of these variables controls, typical ranges, and how to select a target operating point.</t>
  </si>
  <si>
    <t>Explain the relationships between sludge age, F:M, and MLSS concentration.</t>
  </si>
  <si>
    <t>Understand the difference between MCRT, SRT, and SRTaerobic.</t>
  </si>
  <si>
    <t>Select a target MCRT, SRT, or SRTaerobic based on treatment goals and water temperature.</t>
  </si>
  <si>
    <t>Set targets for DO and ORP in anaerobic, anoxic, and aerobic zones based on treatment goals.</t>
  </si>
  <si>
    <t>Adjust IMLR to maximize nitrate removal and minimize pumping costs.</t>
  </si>
  <si>
    <t>Understand how RAS pumping rates affect the RAS concentration and clarifier solids loading rate.</t>
  </si>
  <si>
    <t>22-07727-001</t>
  </si>
  <si>
    <t>22-07704-001</t>
  </si>
  <si>
    <t>All courses within the short school must be completed for this course to count for EITHER 30-days of hands-on entry level experience OR as a substitute for a high school diploma.</t>
  </si>
  <si>
    <t>Training Units or CEUs are issued for each topic as it is completed.</t>
  </si>
  <si>
    <t>2022 Jar Testing Final Quiz</t>
  </si>
  <si>
    <t>This course walks attendees through the fundamentals of jar testing.  The class starts with a review of drinking water treatment and a discussion of practical applications of jar testing in wastewater treatment.  Attendees will learn how to 1) match jar test mixing intensity and times to conditions in the full scale facility, 2) select chemical dosages, 3) create stock solutions and dilute them, 4) read a G-force chart, 5) interpret jar testing results, and 6) translate results into process adjustments in the full-scale facility.</t>
  </si>
  <si>
    <t>After completing this course, attendees should be able to calculate G-force, HRT,  and SOR for a full scale facility and match jar test mixing intensity and times to those conditions.</t>
  </si>
  <si>
    <t>Select chemical dosage ranges for an initial jar test and then adjust dosages based on results.</t>
  </si>
  <si>
    <t>Create stock solutions and dilute them appropriately to achieve desired chemical doses.</t>
  </si>
  <si>
    <t>Read a G-force chart for a gang stirrer or other jar testing device.</t>
  </si>
  <si>
    <t>Interpret jar testing results and adjust chemical dosages in response.</t>
  </si>
  <si>
    <t>Translate results into process adjustments in the full-scale facility.</t>
  </si>
  <si>
    <t>22-07709-001</t>
  </si>
  <si>
    <t>One hour of math strategies to help operators be more successful when approaching math problems.  Rather than teach operators how to use specific formulas or solve one type of problem, this course teaches strategies that may be used to solve many of the math problems operators are likely to encounter in their day-to-day work and on certification exams.  Attendees will learn how to dissect word problems to determine which formula(s) are needed and when unit conversions are needed.  Attendees will learn the order of operations and how to rearrange common equations.</t>
  </si>
  <si>
    <t xml:space="preserve">This course walks attendees through the theory behind the total dissolved solids (TDS), conductivity, and turbidity tests.  While these parameters are related to one another, they don't measure the same thing.  Each procedure is presented step-by-step in accordance with the requirements and guidelines set forth in Standard Methods including required quality assurance and quality control samples. </t>
  </si>
  <si>
    <t>Explain how TDS and conductivity are related to one another but why one cannot definitively be used to predict the other.</t>
  </si>
  <si>
    <t>Conduct TDS, conductivity, and turbidity analyses on water and wastewater samples.</t>
  </si>
  <si>
    <t>22-07744-001</t>
  </si>
  <si>
    <t>22-07745-001</t>
  </si>
  <si>
    <t>2022 Chemical Dosing Final Quiz</t>
  </si>
  <si>
    <t>22-06002-002</t>
  </si>
  <si>
    <t>Activated Sludge Microbiology: A View Beneath the Surface</t>
  </si>
  <si>
    <t>WWT-012A</t>
  </si>
  <si>
    <t>WWT-012B</t>
  </si>
  <si>
    <t>22-08900-001</t>
  </si>
  <si>
    <t>Activated Sludge Microbiology: Microscope Basics and the Micro Exam</t>
  </si>
  <si>
    <t>22-08901-001</t>
  </si>
  <si>
    <t>Activated Sludge Microbiology: Filaments and Settling Problems</t>
  </si>
  <si>
    <t>Steve Leach</t>
  </si>
  <si>
    <t>2022 WWT-012B Microscope Basics Final Quiz</t>
  </si>
  <si>
    <t>2022 WWT-012A A View Beneath the Surface Final Quiz</t>
  </si>
  <si>
    <t>2022 WWT-013 Filaments and Settling Problems Final Quiz</t>
  </si>
  <si>
    <t>Chemical Handling (under construction)</t>
  </si>
  <si>
    <t xml:space="preserve"> W, D, WW, C</t>
  </si>
  <si>
    <t>Idaho Approvals</t>
  </si>
  <si>
    <t>See NV, WY, or WA</t>
  </si>
  <si>
    <t>IDAHO</t>
  </si>
  <si>
    <t>7194-1-22</t>
  </si>
  <si>
    <t>All WW / I Operators</t>
  </si>
  <si>
    <t>This is the first part of a three part series on activated sludge microbiology.  This course discusses how bacteria are classified, bacterial forms present in activated sludge, and how floc forms.  Attendees will learn how to distinguish between tightly and loosely bound extra-polymeric substances and what the presence of each can indicate.</t>
  </si>
  <si>
    <t>Describe major groups of bacteria present in activated sludge and how they are classified.</t>
  </si>
  <si>
    <t>Distinguish between tightly and loosely bound EPS.</t>
  </si>
  <si>
    <t>Describe key indicators in the bulk water between floc particles.</t>
  </si>
  <si>
    <t>This is the second part of a three part series on activated sludge microbiology.  In part two, attendees will learn how to properly set up and care for their microscope and how to properly conduct a micro exam.</t>
  </si>
  <si>
    <t>List the major components of a phase-contrast microscope.</t>
  </si>
  <si>
    <t>Explain why phase-contrast is necessary for filament observation.</t>
  </si>
  <si>
    <t>Clean, set up, and calibrate a phase-contrast microscope.</t>
  </si>
  <si>
    <t>Properly prepare a wet mount.</t>
  </si>
  <si>
    <t>Perform a micro exam: floc, filaments, higher life forms, and bulk water examination.</t>
  </si>
  <si>
    <t>Diagnose the presence of excessive EPS.</t>
  </si>
  <si>
    <t>Rate filament density using a common scale.</t>
  </si>
  <si>
    <t>List the various operating conditions that can contribute to filament growth.</t>
  </si>
  <si>
    <t>List morphological features of filaments used for identification.</t>
  </si>
  <si>
    <t>Perform a Gram stain.</t>
  </si>
  <si>
    <t>Perform a Neisser stain.</t>
  </si>
  <si>
    <t>Describe the most commonly encountered filaments in domestic wastewater treatment.</t>
  </si>
  <si>
    <t>Justification</t>
  </si>
  <si>
    <t>All types of treatment systems utilize pumps to transfer liquids and sludges from one point to another.  Operators must understand how pumps operate, how to troubleshoot them, and how to perform basic maintenance.</t>
  </si>
  <si>
    <t>An understanding of pressure and being able to convert between pressure and elevation are critical to setting pressure relief valves and other day-to-day operational tasks.</t>
  </si>
  <si>
    <t>Operators must understand velocity in pipes, head, why cavitation occurs, and a host of other issues to effectively troubleshoot and operate pumped systems.</t>
  </si>
  <si>
    <t>All water and wastewater systems need a well-established maintenance program and method of tracking assets.</t>
  </si>
  <si>
    <t>Representative samples are required for process control and regulatory compliance in both water and wastewater systems regardless of size.</t>
  </si>
  <si>
    <t>Water systems must comply with the Disinfection Byproduct Rule.  Wastewater systems are starting to be regulated for DBP formation as well.</t>
  </si>
  <si>
    <t>Collection system operators must be familiar with basic concepts in collection system design so they can effectively operate and maintain them.</t>
  </si>
  <si>
    <t>Collection system operators must be able to identify potential issues with the collection system so they can effectively operate and maintain it.</t>
  </si>
  <si>
    <t>Lift stations and pump stations have many similarities in both configuration and operation.  Broadly applicable to water and wastewater systems.  Operators use, inspect, and troubleshoot lift stations as part of daily duties.</t>
  </si>
  <si>
    <t>Operators must understand the types of industrial wastes that may be discharged to the collection system and their legal authority to control those discharges so they don't cause pass through or interference.</t>
  </si>
  <si>
    <t>Operators must be able to calculate the volumes of tanks as a first step in many different process control calculations like detention time, MCRT, loading rates, etc.</t>
  </si>
  <si>
    <t>Chemical dosing math is used to adjust feed rates for chlorine and other chemicals in water and wastewater treatment systems.</t>
  </si>
  <si>
    <t>Water and wastewater operators are often required to excavate pipelines and tanks to do maintenance.  Proper trenching and shoring is required to avoid cave-ins, injury, and loss of life.</t>
  </si>
  <si>
    <t>Water and wastewater operators routinely perform confined space entries to inspect, clean, and maintain tanks and equipment.</t>
  </si>
  <si>
    <t>Wastewater operators can't effectively treat wastewater unless they understand what is in their wastewater and how each fraction is processed during treatment. Being familiar with typical ratios for domestic wastewater can help operators identify poor sampling practices and non-representative samples.</t>
  </si>
  <si>
    <t>Lagoons and fixed film are both used to process wastewater.  Operators must understand fundamental principals to operate these systems.</t>
  </si>
  <si>
    <t>Activated sludge is used to treat wastewater.  Operators must understand fundamental principals to operate these systems.</t>
  </si>
  <si>
    <t>Total nitrogen removal is a requirement of more and more wastewater treatment plant discharge permits. Operators must understand fundamental principals to achieve compliance.  Drinking water systems that use chloramines to disinfect are at risk of nitrification in the distribution system.</t>
  </si>
  <si>
    <t xml:space="preserve">Phosphorus removal is a requirement of more and more wastewater treatment plant discharge permits. Operators must understand fundamental principals to achieve compliance.  </t>
  </si>
  <si>
    <t>All wastewater treatment processes depend on solids/liquid separation for treatment.  Understanding how clarifiers work and why they fail is critical knowledge for wastewater operators.</t>
  </si>
  <si>
    <t>Many wastewater plants use activated sludge to treat wastewater.  Operators must know how to collect and interpret process control results.</t>
  </si>
  <si>
    <t>Chlorine disinfection is used in water and wastewater.  Information is directly applicable to all system types.</t>
  </si>
  <si>
    <t>Operators must understand the fundamentals of aerobic and anaerobic digestion to effectively operate these processes.</t>
  </si>
  <si>
    <t>Operators must understand the fundamentals of belt filter presses to effectively operate them and achieve high solids capture and high percent solids cake.</t>
  </si>
  <si>
    <t>Operators must understand the fundamentals of centrifuges to effectively operate them and achieve high solids capture and high percent solids cake.</t>
  </si>
  <si>
    <t>Wastewater and collection systems have the potential to generate odors.  Understanding why odors are generated and how to control them is useful for operators.</t>
  </si>
  <si>
    <t>Operators often conduct their own on-site testing or are reviewing data supplied by other labs.  Production of accurate, legally defensible data is required for permit compliance and protection of public health.</t>
  </si>
  <si>
    <t>Thirty minutes of math problems covering the areas and volumes of tanks.  We even show you how to do the dreaded "paint the tank" problem.  Participants watch short videos demonstrating how to solve several different geometry problems.  After each example, participants are asked to try a problem of the same type of their own and enter the answer in a quiz.</t>
  </si>
  <si>
    <t>This course covers operation of trickling filters (TFs) and rotating biological contactors (RBC).  The individual components of each process are discussed along with their functions. Biological processes taking place in aerobic, facultative, and anaerobic biofilm layers are discussed along with typical operating ranges, process control strategies, and troubleshooting. This course is supplemented with many photographs showing different technologies with descriptions of the functions of various pieces such as the plenum, underdrain, and distributors.</t>
  </si>
  <si>
    <t>Trickling filters and RBCs are used to treat wastewater.  Operators must understand fundamental principals to operate these systems.</t>
  </si>
  <si>
    <t>Lagoons and constructed wetlands are used to treat wastewater.  Operators must understand fundamental principals to operate these systems.</t>
  </si>
  <si>
    <t>This presentation combines material from our lagoons and fixed film courses. Components, operation, maintenance, and troubleshooting for each process type are presented.  If you are looking for lagoon information specifically, please take our Lagoons and Wetlands course instead.</t>
  </si>
  <si>
    <t>If activated sludge has never made sense to you, but engines and other mechanical devices do, then this is the course for you.  This course introduces participants to the basics of activated sludge. Inspired by the chief of maintenance at a Colorado WWTP, this course looks at activated sludge from a mechanical perspective and introduces bacteria as the little combustion engines that they are.  Seeing the mechanical inputs makes the inner workings of activated sludge crystal clear. Covers concepts of sludge age, food-to-microorganism ratio, and relationships between process control variables.</t>
  </si>
  <si>
    <t>This course gives an in-depth discussion of secondary clarifier state point analysis which is a mathematical model used to predict secondary clarifier performance based on sludge settling characteristics, solids loading rate, surface overflow rate, and return activated sludge rate.  Participants can download the model for later use.</t>
  </si>
  <si>
    <t>This presentation discusses the sources of odors in water and wastewater treatment, the chemical composition of different odor causing compounds, and methods for odor control.  Odors may be controlled by preventing formation, masking, filtering, or processing biologically.</t>
  </si>
  <si>
    <t>ECY22-3148</t>
  </si>
  <si>
    <t>ECY22-3147</t>
  </si>
  <si>
    <t>ECY22-3146</t>
  </si>
  <si>
    <t>ECY22-3145</t>
  </si>
  <si>
    <t>ECY22-3144</t>
  </si>
  <si>
    <t>ECY22-3143</t>
  </si>
  <si>
    <t>ECY22-3142</t>
  </si>
  <si>
    <t>ECY22-3141</t>
  </si>
  <si>
    <t>ECY22-3140</t>
  </si>
  <si>
    <t>ECY22-3139</t>
  </si>
  <si>
    <t>ECY22-3101</t>
  </si>
  <si>
    <t>ECY22-3102</t>
  </si>
  <si>
    <t>ECY22-3103</t>
  </si>
  <si>
    <t>ECY22-3104</t>
  </si>
  <si>
    <t>ECY22-3105</t>
  </si>
  <si>
    <t>ECY22-3106</t>
  </si>
  <si>
    <t>ECY22-3107</t>
  </si>
  <si>
    <t>ECY22-3108</t>
  </si>
  <si>
    <t>ECY22-3109</t>
  </si>
  <si>
    <t>ECY22-3110</t>
  </si>
  <si>
    <t>ECY22-3111</t>
  </si>
  <si>
    <t>ECY22-3112</t>
  </si>
  <si>
    <t>ECY22-3113</t>
  </si>
  <si>
    <t>ECY22-3114</t>
  </si>
  <si>
    <t>ECY22-3115</t>
  </si>
  <si>
    <t>ECY22-3116</t>
  </si>
  <si>
    <t>ECY22-3117</t>
  </si>
  <si>
    <t>ECY22-3118</t>
  </si>
  <si>
    <t>ECY22-3119</t>
  </si>
  <si>
    <t>ECY22-3120</t>
  </si>
  <si>
    <t>ECY22-3123</t>
  </si>
  <si>
    <t>ECY22-3124</t>
  </si>
  <si>
    <t>ECY22-3125</t>
  </si>
  <si>
    <t>ECY22-3126</t>
  </si>
  <si>
    <t>ECY22-3127</t>
  </si>
  <si>
    <t>ECY22-3128</t>
  </si>
  <si>
    <t>ECY22-3129</t>
  </si>
  <si>
    <t>ECY22-3130</t>
  </si>
  <si>
    <t>ECY22-3131</t>
  </si>
  <si>
    <t>ECY22-3132</t>
  </si>
  <si>
    <t>ECY22-3133</t>
  </si>
  <si>
    <t>ECY22-3134</t>
  </si>
  <si>
    <t>ECY22-3135</t>
  </si>
  <si>
    <t>ECY22-3136</t>
  </si>
  <si>
    <t>ECY22-3137</t>
  </si>
  <si>
    <t>ECY22-3138</t>
  </si>
  <si>
    <t>ECY22-3122</t>
  </si>
  <si>
    <t>ALL-011</t>
  </si>
  <si>
    <t>Backflow Preventers</t>
  </si>
  <si>
    <t xml:space="preserve">This very brief course is to introduce operators to the different types of backflow preventers, how they work, and where you might see them installed.  After completing this course, you should be able to recognize the risks of backflow from back pressure and back siphonage. </t>
  </si>
  <si>
    <t>List the five types of backflow preventers used to prevent cross-connections.</t>
  </si>
  <si>
    <t>Define back pressure and back siphonage.</t>
  </si>
  <si>
    <t>Explain how each type of backflow preventer works and describe their components.</t>
  </si>
  <si>
    <t xml:space="preserve">This course covers three colorimetric test methods commonly performed at drinking water and wastewater treatment facilities using a hand-held pocket colorimeter.  The procedures for each test method are presented step-by-step in accordance with the requirements and guidelines set forth in Standard Methods including required quality assurance and quality control samples.  This course includes a discussion of the chemistry behind each test method and potential interferences.  The course concludes with a discussion of required QA/QC samples.  </t>
  </si>
  <si>
    <t xml:space="preserve">This course covers three ion-selective test methods commonly performed at drinking water and wastewater treatment facilities.  The procedures for each test method are presented step-by-step in accordance with the requirements and guidelines set forth in Standard Methods including required quality assurance and quality control samples.  This course includes a discussion of the chemistry behind each test method and potential interferences.  The course concludes with a discussion of required QA/QC samples.  </t>
  </si>
  <si>
    <t>22-08959-001</t>
  </si>
  <si>
    <t>22-08960-001</t>
  </si>
  <si>
    <t>22-08961-001</t>
  </si>
  <si>
    <t># Slides</t>
  </si>
  <si>
    <t>Lagoons</t>
  </si>
  <si>
    <t>Fixed Film</t>
  </si>
  <si>
    <t>Laboratory</t>
  </si>
  <si>
    <t>2023 ALL-001 Pumps Final Quiz</t>
  </si>
  <si>
    <t>Final Quiz Name - 2023</t>
  </si>
  <si>
    <t>Quiz_2023</t>
  </si>
  <si>
    <t>CO_Number_2023</t>
  </si>
  <si>
    <t>Colorado Approval No.
2023</t>
  </si>
  <si>
    <t>23-05991-001</t>
  </si>
  <si>
    <t>23-05993-001</t>
  </si>
  <si>
    <t>23-05994-001</t>
  </si>
  <si>
    <t>23-05995-002</t>
  </si>
  <si>
    <t>23-05996-001</t>
  </si>
  <si>
    <t>23-08959-001</t>
  </si>
  <si>
    <t>23-05998-001</t>
  </si>
  <si>
    <t>23-05999-001</t>
  </si>
  <si>
    <t>23-06000-002</t>
  </si>
  <si>
    <t>23-06001-002</t>
  </si>
  <si>
    <t>23-06009-001</t>
  </si>
  <si>
    <t>23-07727-001</t>
  </si>
  <si>
    <t>23-08900-001</t>
  </si>
  <si>
    <t>23-08901-001</t>
  </si>
  <si>
    <t>23-06018-001</t>
  </si>
  <si>
    <t>23-08902-001</t>
  </si>
  <si>
    <t>23-05983-002</t>
  </si>
  <si>
    <t>23-05984-002</t>
  </si>
  <si>
    <t>23-05985-002</t>
  </si>
  <si>
    <t>23-05986-002</t>
  </si>
  <si>
    <t>23-05987-001</t>
  </si>
  <si>
    <t>23-05990-001</t>
  </si>
  <si>
    <t>23-06046-002</t>
  </si>
  <si>
    <t>23-05988-001</t>
  </si>
  <si>
    <t>23-05997-001</t>
  </si>
  <si>
    <t>23-06005-001</t>
  </si>
  <si>
    <t>23-06672-001</t>
  </si>
  <si>
    <t>23-05992-001</t>
  </si>
  <si>
    <t>23-06008-001</t>
  </si>
  <si>
    <t>23-06020-001</t>
  </si>
  <si>
    <t>23-06025-001</t>
  </si>
  <si>
    <t>23-07222-001</t>
  </si>
  <si>
    <t>23-06034-002</t>
  </si>
  <si>
    <t>Preliminary / Primary Treatment</t>
  </si>
  <si>
    <t>Disinfection</t>
  </si>
  <si>
    <t>Aerobic Digestion</t>
  </si>
  <si>
    <t>Anaerobic Digestion</t>
  </si>
  <si>
    <t>Thickening</t>
  </si>
  <si>
    <t>Dewatering - Belt Filter Presses</t>
  </si>
  <si>
    <t>Dewatering - Centrifuges</t>
  </si>
  <si>
    <t>Solids Handling Math</t>
  </si>
  <si>
    <t>Activated Sludge Math</t>
  </si>
  <si>
    <t>Slides</t>
  </si>
  <si>
    <t>Activated Sludge Microbiology</t>
  </si>
  <si>
    <t>Intro to Activated Sludge</t>
  </si>
  <si>
    <t>Activated Sludge Process Control</t>
  </si>
  <si>
    <t>Compare and contrast three methods for measuring total suspended solids: gravimetric analysis, TSS meter, and centrifuge spins.  Comment on the relative accuracy of each method.</t>
  </si>
  <si>
    <t>Correctly set up and execute the gravimetric total suspended solids procedure for analysis of wastewater samples including required QA/QC.</t>
  </si>
  <si>
    <t>Calculate total suspended solids concentrations from raw laboratory data.  Interprete QA/QC sample results and take corrective action.</t>
  </si>
  <si>
    <t>7 mm</t>
  </si>
  <si>
    <t>9 mm</t>
  </si>
  <si>
    <t>Quiz 1</t>
  </si>
  <si>
    <t>Quiz 2</t>
  </si>
  <si>
    <t>Quiz 3</t>
  </si>
  <si>
    <t>Quiz 4</t>
  </si>
  <si>
    <t>Quiz 5</t>
  </si>
  <si>
    <t>Quiz 6</t>
  </si>
  <si>
    <t>Quiz 7</t>
  </si>
  <si>
    <t>Quiz 8</t>
  </si>
  <si>
    <t>Quiz 9</t>
  </si>
  <si>
    <t>Quiz 10</t>
  </si>
  <si>
    <t>Quiz 11</t>
  </si>
  <si>
    <t>Quiz 12</t>
  </si>
  <si>
    <t>Quiz 13</t>
  </si>
  <si>
    <t>Quiz 14</t>
  </si>
  <si>
    <t>Quiz_1</t>
  </si>
  <si>
    <t>Quiz_2</t>
  </si>
  <si>
    <t>Quiz_3</t>
  </si>
  <si>
    <t>Quiz_4</t>
  </si>
  <si>
    <t>Quiz_5</t>
  </si>
  <si>
    <t>Quiz_6</t>
  </si>
  <si>
    <t>Quiz_7</t>
  </si>
  <si>
    <t>Quiz_8</t>
  </si>
  <si>
    <t>Quiz_9</t>
  </si>
  <si>
    <t>Quiz_10</t>
  </si>
  <si>
    <t>Quiz_11</t>
  </si>
  <si>
    <t>Quiz_12</t>
  </si>
  <si>
    <t>Quiz_13</t>
  </si>
  <si>
    <t>Quiz_14</t>
  </si>
  <si>
    <t>Actual_Course_Length</t>
  </si>
  <si>
    <t>Total_Course_Length</t>
  </si>
  <si>
    <t>2023 ALL-002 Hydraulics Basics Final Quiz</t>
  </si>
  <si>
    <t>2023 ALL-003 Pump Hydraulics Final Quiz</t>
  </si>
  <si>
    <t>2023 ALL-005 Corrosion Final Quiz</t>
  </si>
  <si>
    <t>2023 ALL-006 Maintenance Final Quiz</t>
  </si>
  <si>
    <t>2023 ALL-007 Electrical Final Quiz</t>
  </si>
  <si>
    <t>2023 ALL-008 Sampling Final Quiz</t>
  </si>
  <si>
    <t>2023 ALL-009 DBPs Final Quiz</t>
  </si>
  <si>
    <t>2023 ALL-011 Backflow Preventers</t>
  </si>
  <si>
    <t>2023 SAF-001 Trenching and Shoring Final Quiz</t>
  </si>
  <si>
    <t>2023 SAF-002 Confined Space Entry Final Quiz</t>
  </si>
  <si>
    <t>2023 MATH-000 Strategies Final Quiz</t>
  </si>
  <si>
    <t>2023 MATH-001 Unit Conversions Final Quiz</t>
  </si>
  <si>
    <t>2023 MATH-002 Geometry Final Quiz</t>
  </si>
  <si>
    <t>2023 Chemical Dosing Final Quiz</t>
  </si>
  <si>
    <t>2023 MATH-004 Velocity Final Quiz</t>
  </si>
  <si>
    <t>2023 MATH-005 Geometry and Velocity Final Quiz</t>
  </si>
  <si>
    <t>2023 MATH-006 Dilutions and Blending Final Quiz</t>
  </si>
  <si>
    <t>2023 COL-001 Intro to Collections Final Quiz</t>
  </si>
  <si>
    <t>2023 COL-002 Collections Inspect Final Quiz</t>
  </si>
  <si>
    <t>2023 COL-003 Collections Clean Final Quiz</t>
  </si>
  <si>
    <t>2023 COL-006 Manholes Final Quiz</t>
  </si>
  <si>
    <t>2023 WWT-005 Biological Treatment Basics Final Quiz</t>
  </si>
  <si>
    <t>2023 WWT-006 Fixed Film Final Quiz</t>
  </si>
  <si>
    <t>2023 WWT-007 Lagoons and Wetlands Final Quiz</t>
  </si>
  <si>
    <t>2023 WWT-011 AS Top 10 Final Quiz</t>
  </si>
  <si>
    <t>2023 WWT-012A A View Beneath the Surface Final Quiz</t>
  </si>
  <si>
    <t>2023 WWT-012B Microscope Basics Final Quiz</t>
  </si>
  <si>
    <t>2023 WWT-013 Filaments and Settling Problems Final Quiz</t>
  </si>
  <si>
    <t>2023 WWT-018 Clarifiers Final Quiz</t>
  </si>
  <si>
    <t>2023 WWT-020 Chlorine Disinfection Final Quiz</t>
  </si>
  <si>
    <t>2023 WWT-025 Centrifuges Final Quiz</t>
  </si>
  <si>
    <t>2023 WAT-001 Intro to Small Water Systems Final Quiz</t>
  </si>
  <si>
    <t>2023 LAB-001 Chemistry Final Quiz</t>
  </si>
  <si>
    <t>2023 WWT-001 Intro to WW Final Quiz</t>
  </si>
  <si>
    <t>2023 WWT-002 WW Characteristics Final Quiz</t>
  </si>
  <si>
    <t>2023 WWT-008 Lagoons and FF Final Quiz</t>
  </si>
  <si>
    <t>2023 WWT-009 AS Basics Final Quiz</t>
  </si>
  <si>
    <t>2023 WWT-010 AS Mechanical Final Quiz</t>
  </si>
  <si>
    <t>2023 WWT-023 Digestion Final Quiz</t>
  </si>
  <si>
    <t>This course focuses specifically on aerobic and anaerobic digestion with a focus on biology, components (parts and purpose including lids, gas collection, mixing techniques, heat exchangers, and more), typical design and operating criteria, indications of souring, and process control calculations specific to anaerobic digestion. Course closes with two case studies to walk operators through two troubleshooting scenarios.</t>
  </si>
  <si>
    <t>2023 WWT-024 Belt Filter Presses Final Quiz</t>
  </si>
  <si>
    <t>2023 COL-005 Pretreatment Final Quiz</t>
  </si>
  <si>
    <t>2023 WWT-014 AS Types Final Quiz</t>
  </si>
  <si>
    <t>Different types of activated sludge systems are discussed with a focus on flow patterns (complete mix, plug flow, batch) versus operational method (pureox, conventional, extended aeration, step feed, high rate, etc.). Simple process diagrams and photographs of each process type are included.  Clarifier flow patterns, sludge collection mechanisms, and weir / launder arrangements are discussed.  Finally, we look at common configurations for activated sludge processes that remove nutrients to low levels including the modified Ludzack-Ettinger process, University of Cape Town process, and others.  Pros and cons of each type of system and their associated treatment objectives are also discussed.</t>
  </si>
  <si>
    <t>2023 WWT-016 Nitrogen Removal Final Quiz</t>
  </si>
  <si>
    <t>2023 WWT-017 Phosphorus Removal Final Quiz</t>
  </si>
  <si>
    <t>2023 WWT-019 AS Process Tests Final Quiz</t>
  </si>
  <si>
    <t>2023 WWT-022 Intro to 503 Regs Final Quiz</t>
  </si>
  <si>
    <t>2023 WWT-026 Odor Control Final Quiz</t>
  </si>
  <si>
    <t>2023 WWT-027 Metals Precip Final Quiz</t>
  </si>
  <si>
    <t>2023 WWT-029 Permit Limits Final Quiz</t>
  </si>
  <si>
    <t>2023 WAT-002 Sources Part 1 Final Quiz</t>
  </si>
  <si>
    <t>2023 WAT-003 Sources Part 2 Final Quiz</t>
  </si>
  <si>
    <t>2023 WAT-004 Drinking Water Treatment Final Quiz</t>
  </si>
  <si>
    <t>2023 WAT-005 Drinking Water Disinfection Final Quiz</t>
  </si>
  <si>
    <t>2023 WAT-006 Distribution Final Quiz</t>
  </si>
  <si>
    <t>2023 WAT-008 Corr Lab Final Quiz</t>
  </si>
  <si>
    <t>2023 LAB-002 pH Alk Hard Final Quiz</t>
  </si>
  <si>
    <t>2023 LAB-004 Laboratory TSS Final Quiz</t>
  </si>
  <si>
    <t>2023 LAB-005 Spectrophotometers Final Quiz</t>
  </si>
  <si>
    <t>2023 LAB-006 Chlorine Residual</t>
  </si>
  <si>
    <t>2023 Jar Testing Final Quiz</t>
  </si>
  <si>
    <t>Industrial Wastewater Treatment</t>
  </si>
  <si>
    <t>IND-001</t>
  </si>
  <si>
    <t>IND-002</t>
  </si>
  <si>
    <t>IND-003</t>
  </si>
  <si>
    <t>IND-004</t>
  </si>
  <si>
    <t>IND-005</t>
  </si>
  <si>
    <t>IND-006</t>
  </si>
  <si>
    <t>IND-007</t>
  </si>
  <si>
    <t>IND-008</t>
  </si>
  <si>
    <t>IND-009</t>
  </si>
  <si>
    <t>IND-010</t>
  </si>
  <si>
    <t>MT_Water</t>
  </si>
  <si>
    <t>MT_Wastewater</t>
  </si>
  <si>
    <t>MT_Dual</t>
  </si>
  <si>
    <t>Montana Water CECs</t>
  </si>
  <si>
    <t>Montana Wastewater CECs</t>
  </si>
  <si>
    <t>Montana Dual CECs</t>
  </si>
  <si>
    <t>TN_Activity_Number</t>
  </si>
  <si>
    <t>Tennessee Activity Number</t>
  </si>
  <si>
    <t>TN_WW_hrs</t>
  </si>
  <si>
    <t>TN_WT_hrs</t>
  </si>
  <si>
    <t>TN_DS_hrs</t>
  </si>
  <si>
    <t>TN_CS_hrs</t>
  </si>
  <si>
    <t>Tennessee Wastewater Hours</t>
  </si>
  <si>
    <t>Tennessee Water Hours</t>
  </si>
  <si>
    <t>Tennessee Distribution Hours</t>
  </si>
  <si>
    <t>Tennessee Collection Systems Hours</t>
  </si>
  <si>
    <t>This course fulfills the requirement under Colorado Regulation 100 for all operators to complete a regulatory training course that matches their certification type prior to renewing a certification, applying to sit for a certification exam, or when requesting reciprocity from another state or agency.</t>
  </si>
  <si>
    <t>23-06003-001</t>
  </si>
  <si>
    <t>23-06004-001</t>
  </si>
  <si>
    <t>23-06023-001</t>
  </si>
  <si>
    <t>23-06024-001</t>
  </si>
  <si>
    <t>23-06026-001</t>
  </si>
  <si>
    <t>23-06028-001</t>
  </si>
  <si>
    <t>23-06030-001</t>
  </si>
  <si>
    <t>23-06033-001</t>
  </si>
  <si>
    <t>23-06035-001</t>
  </si>
  <si>
    <t>23-06037-001</t>
  </si>
  <si>
    <t>23-06038-001</t>
  </si>
  <si>
    <t>23-06039-001</t>
  </si>
  <si>
    <t>23-06696-001</t>
  </si>
  <si>
    <t>23-06743-002</t>
  </si>
  <si>
    <t>23-06840-002</t>
  </si>
  <si>
    <t>23-07639-001</t>
  </si>
  <si>
    <t>23-07704-001</t>
  </si>
  <si>
    <t>23-07745-001</t>
  </si>
  <si>
    <t>23-08960-001</t>
  </si>
  <si>
    <t>23-06006-001</t>
  </si>
  <si>
    <t>23-06007-001</t>
  </si>
  <si>
    <t>23-06010-001</t>
  </si>
  <si>
    <t>23-06011-002</t>
  </si>
  <si>
    <t>23-06012-001</t>
  </si>
  <si>
    <t>23-06015-001</t>
  </si>
  <si>
    <t>23-06016-001</t>
  </si>
  <si>
    <t>23-06019-001</t>
  </si>
  <si>
    <t>23-06022-002</t>
  </si>
  <si>
    <t>23-06017-001</t>
  </si>
  <si>
    <t>23-06036-001</t>
  </si>
  <si>
    <t>23-07362-001</t>
  </si>
  <si>
    <t>23-07363-001</t>
  </si>
  <si>
    <t>23-07709-001</t>
  </si>
  <si>
    <t>23-07744-001</t>
  </si>
  <si>
    <t>23-08961-001</t>
  </si>
  <si>
    <t>23-06032-001</t>
  </si>
  <si>
    <t>Wastewater Exam Cram</t>
  </si>
  <si>
    <t>Max</t>
  </si>
  <si>
    <t>Gimkit Review</t>
  </si>
  <si>
    <t>Day 1 Total</t>
  </si>
  <si>
    <t>Laboratory Testing - pH, alkalinity, and BOD</t>
  </si>
  <si>
    <t>Laboratory Testing - Total Suspended Solids</t>
  </si>
  <si>
    <t>Day 2 Total</t>
  </si>
  <si>
    <t>Day 1 Topics</t>
  </si>
  <si>
    <t>Day 2 Topics</t>
  </si>
  <si>
    <t>Day 3 Topics</t>
  </si>
  <si>
    <t>Day 3 Total</t>
  </si>
  <si>
    <t>Day 4 Topics</t>
  </si>
  <si>
    <t>Day 4 Total</t>
  </si>
  <si>
    <t>Sequencing Batch Reactors (under construction)</t>
  </si>
  <si>
    <t>UV Disinfection (under construction)</t>
  </si>
  <si>
    <t>2023 COL-004 Lift Stations Final Quiz</t>
  </si>
  <si>
    <t>2023 LAB-003 TDS Cond Turb Final Quiz</t>
  </si>
  <si>
    <t>2023 LAB-007 Spec Tests Final Quiz</t>
  </si>
  <si>
    <t>2023 LAB-008 ISE Final Quiz</t>
  </si>
  <si>
    <t>2023 LAB-010 BOD Final Quiz</t>
  </si>
  <si>
    <t>NV22-124</t>
  </si>
  <si>
    <t>NV22-125</t>
  </si>
  <si>
    <t>NV22-126</t>
  </si>
  <si>
    <t>NV22-127</t>
  </si>
  <si>
    <t>NV22-128</t>
  </si>
  <si>
    <t>NV22-129</t>
  </si>
  <si>
    <t>NV22-130</t>
  </si>
  <si>
    <t>NV22-131</t>
  </si>
  <si>
    <t>NV22-132</t>
  </si>
  <si>
    <t>NV22-142</t>
  </si>
  <si>
    <t>NV22-143</t>
  </si>
  <si>
    <t>NV22-144</t>
  </si>
  <si>
    <t>NV22-145</t>
  </si>
  <si>
    <t>NV22-146</t>
  </si>
  <si>
    <t>NV22-147</t>
  </si>
  <si>
    <t>NV22-148</t>
  </si>
  <si>
    <t>2023 Post-Quiz for Wastewater MRT</t>
  </si>
  <si>
    <t>2023 Post-Quiz for Drinking Water MRT</t>
  </si>
  <si>
    <t>R23123</t>
  </si>
  <si>
    <t>R23124</t>
  </si>
  <si>
    <t>R23125</t>
  </si>
  <si>
    <t>R23126</t>
  </si>
  <si>
    <t>R23127</t>
  </si>
  <si>
    <t>R23128</t>
  </si>
  <si>
    <t>R23129</t>
  </si>
  <si>
    <t>R23130</t>
  </si>
  <si>
    <t>R23131</t>
  </si>
  <si>
    <t>R23132</t>
  </si>
  <si>
    <t>R23133</t>
  </si>
  <si>
    <t>R23134</t>
  </si>
  <si>
    <t>R23135</t>
  </si>
  <si>
    <t>R23136</t>
  </si>
  <si>
    <t>R23137</t>
  </si>
  <si>
    <t>R23138</t>
  </si>
  <si>
    <t>R23139</t>
  </si>
  <si>
    <t>R23140</t>
  </si>
  <si>
    <t>R23141</t>
  </si>
  <si>
    <t>R23142</t>
  </si>
  <si>
    <t>R23143</t>
  </si>
  <si>
    <t>R23144</t>
  </si>
  <si>
    <t>R23146</t>
  </si>
  <si>
    <t>R23147</t>
  </si>
  <si>
    <t>R23148</t>
  </si>
  <si>
    <t>R23149</t>
  </si>
  <si>
    <t>R23150</t>
  </si>
  <si>
    <t>R23151</t>
  </si>
  <si>
    <t>R23152</t>
  </si>
  <si>
    <t>R23153</t>
  </si>
  <si>
    <t>Speaker's Employer</t>
  </si>
  <si>
    <t>Indigo Water Group</t>
  </si>
  <si>
    <t>Passaro Engineering</t>
  </si>
  <si>
    <t>, Natural Water Solutions</t>
  </si>
  <si>
    <t>Leach Microbial Consulting</t>
  </si>
  <si>
    <t>WasteWater Technology Trainers</t>
  </si>
  <si>
    <t>Brown and Caldwell</t>
  </si>
  <si>
    <t>Lockheed Martin</t>
  </si>
  <si>
    <t>Speaker_Employer</t>
  </si>
  <si>
    <t>R23154</t>
  </si>
  <si>
    <t>R23156</t>
  </si>
  <si>
    <t>R23157</t>
  </si>
  <si>
    <t>R23158</t>
  </si>
  <si>
    <t>R23159</t>
  </si>
  <si>
    <t>R23160</t>
  </si>
  <si>
    <t>R23161</t>
  </si>
  <si>
    <t>R23162</t>
  </si>
  <si>
    <t>R23163</t>
  </si>
  <si>
    <t>R23164</t>
  </si>
  <si>
    <t>R23165</t>
  </si>
  <si>
    <t>R23166</t>
  </si>
  <si>
    <t>R23167</t>
  </si>
  <si>
    <t>R23168</t>
  </si>
  <si>
    <t>R23169</t>
  </si>
  <si>
    <t>R23170</t>
  </si>
  <si>
    <t>R23171</t>
  </si>
  <si>
    <t>R23172</t>
  </si>
  <si>
    <t>R23173</t>
  </si>
  <si>
    <t>R23175</t>
  </si>
  <si>
    <t>R23176</t>
  </si>
  <si>
    <t>R23177</t>
  </si>
  <si>
    <t>R23178</t>
  </si>
  <si>
    <t>R23179</t>
  </si>
  <si>
    <t>R23180</t>
  </si>
  <si>
    <t>R23181</t>
  </si>
  <si>
    <t>R23182</t>
  </si>
  <si>
    <t>R23183</t>
  </si>
  <si>
    <t>Completing the Discharge Monitoring Report (under construction)</t>
  </si>
  <si>
    <t>Laboratory - TDS, Conductivity, and Turbidity</t>
  </si>
  <si>
    <t>Laboratory Testing - Total coliforms by MPN (under construction)</t>
  </si>
  <si>
    <t>1. Biological Treatment Basics</t>
  </si>
  <si>
    <t>2. Activated Sludge Process Control</t>
  </si>
  <si>
    <t>3. Activated Sludge Microbiology</t>
  </si>
  <si>
    <t>4. Nitrogen Removal</t>
  </si>
  <si>
    <t>5. Phosphorus Removal</t>
  </si>
  <si>
    <t>WWT23-3430-T01-G00</t>
  </si>
  <si>
    <t>WWT23-3431-T0.5-G00</t>
  </si>
  <si>
    <t>WWT23-3432-T0.5-G00</t>
  </si>
  <si>
    <t>WWT23-3434-T01-G00</t>
  </si>
  <si>
    <t>WWT23-3437-T02-G00</t>
  </si>
  <si>
    <t>WWT23-3439-T02-G00</t>
  </si>
  <si>
    <t>WWT23-3443-T02-G00</t>
  </si>
  <si>
    <t>WWT23-3444-T02-G00</t>
  </si>
  <si>
    <t>WWT23-3449-T02-G00</t>
  </si>
  <si>
    <t>WWT23-3450-T03-G00</t>
  </si>
  <si>
    <t>WWT23-3452-T00-G2.5</t>
  </si>
  <si>
    <t>WWT23-3453-T00-G1 .5</t>
  </si>
  <si>
    <t>WWT23-3456-T00-G01</t>
  </si>
  <si>
    <t xml:space="preserve">WWT23-3461-T02-G00 </t>
  </si>
  <si>
    <t>WWT23-3462-T02-G00</t>
  </si>
  <si>
    <t>WWT23-3467-T02-G00</t>
  </si>
  <si>
    <t>WWT23-3468-T03-G00</t>
  </si>
  <si>
    <t>WWT23-3482-T02-G00</t>
  </si>
  <si>
    <t>WWT23-3483-T02-G00</t>
  </si>
  <si>
    <t>WWT23-3484-T00-G02</t>
  </si>
  <si>
    <t>WWT23-3486-T00-G02</t>
  </si>
  <si>
    <t>WWT23-3488-T00-G02</t>
  </si>
  <si>
    <t>WWT23-3489-T02-G00</t>
  </si>
  <si>
    <t>WWT23-3490-T02-G00</t>
  </si>
  <si>
    <t>WWT23-3491-T1 .5-G00</t>
  </si>
  <si>
    <t>WWT23-3492-T1 .5-G00</t>
  </si>
  <si>
    <t>WWT23-3493-T0. 5-G00</t>
  </si>
  <si>
    <t>Laboratory Testing - Biochemical Oxygen Demand</t>
  </si>
  <si>
    <t>WWT23-3433-T0.5-G00</t>
  </si>
  <si>
    <t>WWT23-3435-T1.5-G00</t>
  </si>
  <si>
    <t>WWT23-3436-T0.5-G00</t>
  </si>
  <si>
    <t>WWT23-3438-T1.5-G00</t>
  </si>
  <si>
    <t>WWT23-3440-T2.5-G00</t>
  </si>
  <si>
    <t>WWT23-3441-T00-G1.5</t>
  </si>
  <si>
    <t>WWT23-3442-T1.5-G00</t>
  </si>
  <si>
    <t>WWT23-3445-T00-G0.5</t>
  </si>
  <si>
    <t>WWT23-3446-T1.5-G00</t>
  </si>
  <si>
    <t>WWT23-344 7-T2.5-G00</t>
  </si>
  <si>
    <t>WWT23-3448-T2.5-G00</t>
  </si>
  <si>
    <t>WWT23-3451-T1.5-G00</t>
  </si>
  <si>
    <t>WWT23-3454-T00-G1.5</t>
  </si>
  <si>
    <t>WWT23-3455-T00-G1.5</t>
  </si>
  <si>
    <t>WWT23-3457 -T00-G2.5</t>
  </si>
  <si>
    <t>WWT23-3458-T00-G2.5</t>
  </si>
  <si>
    <t>WWT23-3459-T00-G1.5</t>
  </si>
  <si>
    <t>WWT23-3460-T00-G2.5</t>
  </si>
  <si>
    <t>WWT23-3463-T1.5-G00</t>
  </si>
  <si>
    <t>WWT23-3464-T1.5-G00</t>
  </si>
  <si>
    <t>WWT23-3465-T1.5-G00</t>
  </si>
  <si>
    <t>WWT23-3466-T2.5-G00</t>
  </si>
  <si>
    <t>WWT23-3469-T2.5-G00</t>
  </si>
  <si>
    <t>WWT23-3470-T2.5-G00</t>
  </si>
  <si>
    <t>WWT23-3471-T01-G00</t>
  </si>
  <si>
    <t>WWT23-3472-T01-G00</t>
  </si>
  <si>
    <t>WWT23-3473-T01-G00</t>
  </si>
  <si>
    <t>WWT23-3474-T1.5-G00</t>
  </si>
  <si>
    <t>WWT23-3475-T2.5-G00</t>
  </si>
  <si>
    <t>WWT23-3476-T02-G00</t>
  </si>
  <si>
    <t>WWT23-3477-T1. 5-G00</t>
  </si>
  <si>
    <t>WWT23-3478-T2. 5-G00</t>
  </si>
  <si>
    <t>WWT23-3479-T02-G00</t>
  </si>
  <si>
    <t>WWT23-3480-T1.5-G00</t>
  </si>
  <si>
    <t>WWT23-3481-T2.5-G00</t>
  </si>
  <si>
    <t>WWT23-3485-T1.5-G00</t>
  </si>
  <si>
    <t>WWT23-3487-T00-G2.5</t>
  </si>
  <si>
    <t>WWT23-3494-T01-G00</t>
  </si>
  <si>
    <t>WWT23-3495-T1.5-G00</t>
  </si>
  <si>
    <t>23-09382-001</t>
  </si>
  <si>
    <t>23-09381-001</t>
  </si>
  <si>
    <t>23-09378-001</t>
  </si>
  <si>
    <t>W, WW</t>
  </si>
  <si>
    <t>SAF-003</t>
  </si>
  <si>
    <t>Lockout / Tagout</t>
  </si>
  <si>
    <t>2023 SAF-003 LOTO Final Quiz</t>
  </si>
  <si>
    <t>23-09451-001</t>
  </si>
  <si>
    <t>Aeration Systems</t>
  </si>
  <si>
    <t>2023 ALL-004 Aeration Systems Final Quiz</t>
  </si>
  <si>
    <t>Raphael Workman</t>
  </si>
  <si>
    <t>C&amp;L Water Solutions</t>
  </si>
  <si>
    <t>SAF-004</t>
  </si>
  <si>
    <t>2023 SAF-004 Demo Saw Final Quiz</t>
  </si>
  <si>
    <t>Identify when use of a demolition saw is an appropriate use.</t>
  </si>
  <si>
    <t>Safely use a demolition saw.</t>
  </si>
  <si>
    <t>Maintain demolition saws.</t>
  </si>
  <si>
    <t>Troubleshoot common problems encountered with demolition saws.</t>
  </si>
  <si>
    <t>This one hour course walks attendees through OSHA requirements for lockout/tagout.</t>
  </si>
  <si>
    <t>Define lockout/tagout</t>
  </si>
  <si>
    <t>Identify sources &amp; types of hazardous energy</t>
  </si>
  <si>
    <t>Recognize causes of injuries/fatalities</t>
  </si>
  <si>
    <t>Select maintenance &amp; service examples</t>
  </si>
  <si>
    <t>List lockout steps/procedures</t>
  </si>
  <si>
    <t>Identify employer responsibility for training &amp; safety as well as employee responsibilities</t>
  </si>
  <si>
    <t>Recall when lockout/tagout applies</t>
  </si>
  <si>
    <t>Identify types of lockout devices and tags</t>
  </si>
  <si>
    <t>Distinguish between required lockout and/or tagout procedures</t>
  </si>
  <si>
    <t>An introduction to different types of aeration equipment used in wastewater treatment plants. Blower types, their components, and maintenance requirements are discussed along with aeration system piping and diffuser types. Attendees will learn the difference between surge and choke and what causes each condition. Different types of mechanical aerators are discussed, how they function, and the pros and cons of each.</t>
  </si>
  <si>
    <t>23-09506-001</t>
  </si>
  <si>
    <t>Preliminary Treatment</t>
  </si>
  <si>
    <t>23-09505-001</t>
  </si>
  <si>
    <t>This course covers preliminary treatment in wastewater treatment plants including screening and grit removal.  Screen types discussed include trash racks, traditional mechanical screens, catenary screens, band screens, step screens, and others.  Grit removal includes detritus tanks, velocity control tanks, and vortex type.</t>
  </si>
  <si>
    <t>Membranes for Water and Wastewater Treatment (under construction)</t>
  </si>
  <si>
    <t>List the functions of aeration equipment in biological treatment processes.</t>
  </si>
  <si>
    <t>List the components of a diffused aeration system and give the functions of each.</t>
  </si>
  <si>
    <t>Explain the differences in blower curves (pressure vs output) for centrifugal and positive displacement blowers.</t>
  </si>
  <si>
    <t>Explain what surge is and the conditions that can create it in a centrifugal blower.</t>
  </si>
  <si>
    <t>Explain what choke is and the conditions that can create it in a centrifugal blower.</t>
  </si>
  <si>
    <t>Understand the differences between single-stage, multi-stage, and turbo blowers.</t>
  </si>
  <si>
    <t>Perform maintenance tasks for centrifugal and positive displacement blowers.</t>
  </si>
  <si>
    <t>List the different types of diffusers and the type of air bubbles they produce.</t>
  </si>
  <si>
    <t>Understand how various mechanical aerators function.</t>
  </si>
  <si>
    <t>Collection and distribution system operators use demolition saws to cut asphalt and pipe and to put bevels on pipe. This critical piece of equipment can be life threatening if not used correctly and safely. This course covers when a demolition saw may be used, the types of materials that may be cut using a demolition saw, maintenance of demolition saws, and basic troubleshooting.</t>
  </si>
  <si>
    <t>List characteristics of grit and screenings.</t>
  </si>
  <si>
    <t>Explain why grit and screenings should be removed.</t>
  </si>
  <si>
    <t>Identify different screen types and give characteristics of each.</t>
  </si>
  <si>
    <t>Compare and contrast trash racks, bar screens, and fine screens.</t>
  </si>
  <si>
    <t>Identify different types of grit basins and explain how they work.</t>
  </si>
  <si>
    <t>Explain how velocity is used to separate grit from organic material.</t>
  </si>
  <si>
    <t>Explain why washing is used to recover organic material from screenings and grit.</t>
  </si>
  <si>
    <t>2023 WWT-003 Preliminary Treatment Final Quiz</t>
  </si>
  <si>
    <t>Make process control adjustments based on microscopic observations.</t>
  </si>
  <si>
    <t>This is part 2 of a series of on-line training classes taught from ACRP's book "Introduction to Small Water Systems".  Water Sources is broken into two on-line training courses labeled as Part 1 and Part 2.  Part 1 discusses surface water sources, raw water storage (reservoirs and tanks), source water management, source water quality problems, reservoir management, stratification of reservoirs, and surface water intake structures.</t>
  </si>
  <si>
    <t>List advantages and disadvantages of using surface water.</t>
  </si>
  <si>
    <t>Explain why one surface water source may be preferred over another.</t>
  </si>
  <si>
    <t>Describe physical, chemical, and biological characteristics of source water.</t>
  </si>
  <si>
    <t>Define reservoir management program.</t>
  </si>
  <si>
    <t>List the three types of photosynthetic organisms present in reservoirs.</t>
  </si>
  <si>
    <t>Recognize that taste and odor problems are often related to different types of algae blooms.</t>
  </si>
  <si>
    <t>Explain the impacts of algae on reservoir water quality.</t>
  </si>
  <si>
    <t>Explain why turnover events occur and how to mitigate them.</t>
  </si>
  <si>
    <t>Describe the different types of water intake structures.</t>
  </si>
  <si>
    <t>List the required QA/QC samples for the BOD test and describe the purpose of each.</t>
  </si>
  <si>
    <t xml:space="preserve">This presentation discusses dry pit and wet pit lift stations, pump arrangement, level indicator equipment, and basic lift station operation and maintenance. It includes a brief discussion of confined space entry and the safety hazards that may be present in lift stations. </t>
  </si>
  <si>
    <t>Every water and wastewater plant has a spectrophotometer or colorimater that is used for process control and sometimes for reporting compliance sample results.  Are you using yours correctly?  Learn when a blank, standard, spike, spike duplicate, and other quality assurance and quality control samples are needed, how to interpret results, and the appropriate corrective actions.</t>
  </si>
  <si>
    <t>This test covers the Biochemical Oxygen Demand (BOD) laboratory test.  It walks you through each step including QA/QC and calculations with lots of helpful hints and background.  A deep dive into this Standard Method.</t>
  </si>
  <si>
    <t>WWT23-3496-T1.5-G00</t>
  </si>
  <si>
    <t>WWT23-3497-T00-G01</t>
  </si>
  <si>
    <t>WWT23-3498-T01-G00</t>
  </si>
  <si>
    <t>23-06002-002</t>
  </si>
  <si>
    <t>SEO_Title</t>
  </si>
  <si>
    <t>SEO_Description</t>
  </si>
  <si>
    <t>2023 ALL-001 Pumps | indigowatergroup.ispringmarket.com</t>
  </si>
  <si>
    <t>This course discusses the different kinds of pumps used in water and wastewater treatment including centrifugal, positive displacement, peristaltic, and more.</t>
  </si>
  <si>
    <t>2023 ALL-002 Hydraulics Basics | indigowatergroup.ispringmarket.com</t>
  </si>
  <si>
    <t xml:space="preserve">This course discusses basic properties of water including weight, density, pressure, and specific gravity. Conversion of pressure to feet of head is demonstrated.
</t>
  </si>
  <si>
    <t>2023 ALL-003 Pumped Systems | indigowatergroup.ispringmarket.com</t>
  </si>
  <si>
    <t>This presentation discusses hydraulic principles as they relate to pump operation.</t>
  </si>
  <si>
    <t>2023 ALL-004 Aeration Systems | indigowatergroup.ispringmarket.com</t>
  </si>
  <si>
    <t>An introduction to different types of aeration equipment used in wastewater treatment plants. Blower types, their components, and maintenance requirements are discussed.</t>
  </si>
  <si>
    <t>2023 ALL-005 Corrosion Control | indigowatergroup.ispringmarket.com</t>
  </si>
  <si>
    <t>This course discusses corrosion control in drinking water distribution and wastewater treatment and collection systems.</t>
  </si>
  <si>
    <t>2023 ALL-006 Maintenance Programs | indigowatergroup.ispringmarket.com</t>
  </si>
  <si>
    <t>Implementing a focused maintenance program that includes predictive and preventive maintenance strategies is critical for maintaining water and wastewater infrastructure.</t>
  </si>
  <si>
    <t>2023 ALL-007 Electrical &amp; Motors | indigowatergroup.ispringmarket.com</t>
  </si>
  <si>
    <t>Students will learn about the relationships between electricity and magnetism and how generators, DC motors, AC motors, relay switches, and other types of equipment.</t>
  </si>
  <si>
    <t>2023 ALL-008 Rep Sampling | indigowatergroup.ispringmarket.com</t>
  </si>
  <si>
    <t>This course covers the efficient and safe collection of representative samples for water and wastewater systems.</t>
  </si>
  <si>
    <t>2023 ALL-009 Disinfect Byproducts | indigowatergroup.ispringmarket.com</t>
  </si>
  <si>
    <t>This presentation defines disinfection byproducts and discusses the regulations on their levels in drinking water and recycled water.</t>
  </si>
  <si>
    <t>2023 ALL-011 Backflow Preventers | indigowatergroup.ispringmarket.com</t>
  </si>
  <si>
    <t>This very brief course is to introduce operators to the different types of backflow preventers, how they work, and where you might see them installed.</t>
  </si>
  <si>
    <t>2023 COL-001 Collection Systems | indigowatergroup.ispringmarket.com</t>
  </si>
  <si>
    <t>This class presents an overview of the collection system and discusses its primary components and their functions.</t>
  </si>
  <si>
    <t>2023 COL-002 Collection Inspect 1 | indigowatergroup.ispringmarket.com</t>
  </si>
  <si>
    <t>This course (in 2 parts) introduces participants to the purposes and methods of collection system inspection, testing, and cleaning.</t>
  </si>
  <si>
    <t>2023 COL-003 Collection Inspect 2 | indigowatergroup.ispringmarket.com</t>
  </si>
  <si>
    <t>2023 COL-004 Lift Stations | indigowatergroup.ispringmarket.com</t>
  </si>
  <si>
    <t>This presentation discusses dry pit and wet pit lift stations, pump arrangement, level indicator equipment, and basic lift station operation and maintenance.</t>
  </si>
  <si>
    <t>2023 COL-005 Pretreatment and P2 | indigowatergroup.ispringmarket.com</t>
  </si>
  <si>
    <t>This course discusses the industrial pretreatment and pollution prevention programs.</t>
  </si>
  <si>
    <t>2023 COL-006 Manholes | indigowatergroup.ispringmarket.com</t>
  </si>
  <si>
    <t>Manholes provide access points for maintenance, flow monitoring, chemical addition, bypass pumping and more.  Learn all about them in this class.</t>
  </si>
  <si>
    <t>2023 LAB-001 Basic Chemistry | indigowatergroup.ispringmarket.com</t>
  </si>
  <si>
    <t>A full semester of inorganic chemistry compressed down into a 2.5 hour review with examples.</t>
  </si>
  <si>
    <t>2023 LAB-002 pH Alkalinity Hard | indigowatergroup.ispringmarket.com</t>
  </si>
  <si>
    <t>This course walks attendees through the theory behind the pH, alkalinity, and hardness laboratory tests.</t>
  </si>
  <si>
    <t>2023 LAB-003 TDS Cond Turbid | indigowatergroup.ispringmarket.com</t>
  </si>
  <si>
    <t>This course walks attendees through the theory behind the total dissolved solids (TDS), conductivity, and turbidity tests. Step by step procedures for each method.</t>
  </si>
  <si>
    <t>2023 LAB-004 Suspended Solids | indigowatergroup.ispringmarket.com</t>
  </si>
  <si>
    <t>This course covers solids testing for wastewater samples.  Each test method is presented with lots of photographs to walk attendees through the procedures step by step.</t>
  </si>
  <si>
    <t>2023 LAB-005 Spectrophotometers | indigowatergroup.ispringmarket.com</t>
  </si>
  <si>
    <t>Course discusses quality assurance and quality control practices for samples analyzed with colorimeters and spectrophotometers and why various QA/QC samples are needed.</t>
  </si>
  <si>
    <t>2023 LAB-006 Chlorine Residual | indigowatergroup.ispringmarket.com</t>
  </si>
  <si>
    <t>This course covers residual chlorine analysis using either the total chlorine residual OR free chlorine residual DPD method using a hand-held pocket colorimeter.</t>
  </si>
  <si>
    <t>2023 LAB-009 Jar Testing | indigowatergroup.ispringmarket.com</t>
  </si>
  <si>
    <t>This course walks attendees through the fundamentals of jar testing for water and wastewater applications. Calculations for determining mixing energy and sampling times.</t>
  </si>
  <si>
    <t>2023 LAB-010 BOD Testing | indigowatergroup.ispringmarket.com</t>
  </si>
  <si>
    <t>This test covers the theory and practice of the Biochemical Oxygen Demand (BOD) laboratory test.  It walks you through each step.</t>
  </si>
  <si>
    <t>2023 MATH-000 Math Strategies | indigowatergroup.ispringmarket.com</t>
  </si>
  <si>
    <t>Math strategies to help operators be more successful when approaching math problems.</t>
  </si>
  <si>
    <t>2023 MATH-001 Unit Conversions | indigowatergroup.ispringmarket.com</t>
  </si>
  <si>
    <t>2023 MATH-002 Geometry | indigowatergroup.ispringmarket.com</t>
  </si>
  <si>
    <t>Thirty minutes of math problems covering the areas and volumes of tanks.  We even show you how to do the dreaded "paint the tank" problem.</t>
  </si>
  <si>
    <t>2023 MATH-003 Chemical Dosing | indigowatergroup.ispringmarket.com</t>
  </si>
  <si>
    <t>Thirty minutes of math problems focused on chlorine addition -- Dose, Demand, Residual, Pounds per Day, and percent available chlorine are defined.</t>
  </si>
  <si>
    <t>2023 MATH-004 Velocity and HRT | indigowatergroup.ispringmarket.com</t>
  </si>
  <si>
    <t>Sixty minutes of math problems focused on hydraulic detention time and velocity in pipes and open channels.</t>
  </si>
  <si>
    <t>2023 MATH-005 Geometry Velocity | indigowatergroup.ispringmarket.com</t>
  </si>
  <si>
    <t>Ninety minutes of math problems focused on geometry and velocity.  Participants watch problems being solved followed by trying similar problems on their own in quizzes.</t>
  </si>
  <si>
    <t>2023 MATH-006 Dilutions Blending | indigowatergroup.ispringmarket.com</t>
  </si>
  <si>
    <t>Thirty minutes of math problems using the two-normal and three-normal equations to calculate dilutions, dewatering of sludge, and blending of water sources.</t>
  </si>
  <si>
    <t>2023 SAF-001 Trenching &amp; Shoring | indigowatergroup.ispringmarket.com</t>
  </si>
  <si>
    <t>2023 SAF-002 Confined Space Entry | indigowatergroup.ispringmarket.com</t>
  </si>
  <si>
    <t>This course covers confined space entry requirements according to OSHA.</t>
  </si>
  <si>
    <t>2023 SAF-003 Lockout Tagout | indigowatergroup.ispringmarket.com</t>
  </si>
  <si>
    <t>A one-hour course covering some aspects of equipment lockout / tagout.
Approved for TUs in Colorado and CEUs in Ohio. We're working on approvals in other states.</t>
  </si>
  <si>
    <t>2023 SAF-004 Demo Saw Safety | indigowatergroup.ispringmarket.com</t>
  </si>
  <si>
    <t>Collection and distribution system operators use demolition saws to cut asphalt and pipe and to put bevels on pipe. Operation, maintenance, and safety for demo saws.</t>
  </si>
  <si>
    <t>Being able to solve math problems is critical for day to day operations and passing certification exams. Many operators struggle with solving word problems.</t>
  </si>
  <si>
    <t>Unit conversions are universally needed by operators of all classifications in their day to day duties to solve common math problems such as chemical dosing rates.</t>
  </si>
  <si>
    <t>Operators must calculate velocity for open channels, collection systems, grit basins, and clarifiers / sedimentation basins. Hydraulic detention time is used to estimate available treatment capacity in both water and wastewater treatment.</t>
  </si>
  <si>
    <t>Operators must be able to calculate the volumes of tanks as a first step in many different process control calculations like detention time, MCRT, loading rates, etc. Velocity calculations are used in collection systems, grit basins, and sedimentation basins / clarifiers.</t>
  </si>
  <si>
    <t>Water operators use the two and three-normal equations to blend water sources to meet safe drinking water limits. Wastewater operators use these calculations to estimate impacts from sidestreams. They are used in water and wastewater to calculate chemical dosages and to make standards in the laboratory.</t>
  </si>
  <si>
    <t>Aeration systems are used in biological treatment processes to provide oxygen for BOD removal and nitrification. Operators must understand how they work and basic maintenance requirements.</t>
  </si>
  <si>
    <t>Understanding why corrosion occurs and how to prevent it is key to maintaining water and wastewater equipment as well as water quality in the distribution system and infrastructure in collection systems.</t>
  </si>
  <si>
    <t>Water and wastewater operators are expected to have some basic electrical troubleshooting skills, understand how motors and generators work, and know when to call in a qualified electrician.</t>
  </si>
  <si>
    <t>Backflow preventers are critical for preventing back pressure and back siphonage events in distribution systems. All operators are expected to know how these devices operate, how to identify them in the field, and which devices should be used in different situations.</t>
  </si>
  <si>
    <t>Lockout/Tagout is required any time maintenance is performed on energized equipment. All operators should complete a lockout/tagout course at least annually.</t>
  </si>
  <si>
    <t>Manhole location, cleaning, and maintenance is routinely performed by wastewater and collection system operators.</t>
  </si>
  <si>
    <t>Introduces operators to different unit processes present in wastewater treatment plants and the interactions that occur between the liquid and solids streams.  All wastewater operators should know this information.</t>
  </si>
  <si>
    <t>Preliminary treatment includes screening and grit removal. Headworks may also include flow equalization and flow measurement. Wastewater operators must understand how these processes work and their importance in keeping debris from passing further into the treatment process where it can damage equipment.</t>
  </si>
  <si>
    <t>Different groups of bacteria are responsible for BOD, ammonia, nitrate, and phosphorus removal from wastewater. Understanding the growth requirements for each group of bacteria are critical to successful operation of a biological wastewater treatment plant.</t>
  </si>
  <si>
    <t>Most wastewater treatment plants beneficially reuse their biosolids through land application. Operators must understand the regulatory structure that governs beneficial reuse.</t>
  </si>
  <si>
    <t>Applicable to industrial wastewater operators and other operators who may be using precipitation chemistry to meet pretreatment or discharge permit limits.</t>
  </si>
  <si>
    <t>Understanding where permit limits originate can assist operators in successfully negotiating permit renewals.</t>
  </si>
  <si>
    <t>Water and wastewater operators must understand basic chemistry to correctly calculate chemical dosages used in treatment. Chemistry aids in understanding water quality parameters such as pH, alkalinity, and hardness.</t>
  </si>
  <si>
    <t>Course_Level</t>
  </si>
  <si>
    <t>Course_Emphasis</t>
  </si>
  <si>
    <t>Course Level</t>
  </si>
  <si>
    <t>Course Emphasis</t>
  </si>
  <si>
    <t>2023 WAT-001 Small Water Systems | indigowatergroup.ispringmarket.com</t>
  </si>
  <si>
    <t>This introduction to small water systems covers major components of water systems and the goals of water treatment.</t>
  </si>
  <si>
    <t>2023 WAT-002 Water Sources Part 1 | indigowatergroup.ispringmarket.com</t>
  </si>
  <si>
    <t>Part 1 discusses surface water sources, raw water storage, source water management, source water quality problems, reservoir management, water quality problems, and more.</t>
  </si>
  <si>
    <t>2023 WAT-003 Water Sources Part 2 | indigowatergroup.ispringmarket.com</t>
  </si>
  <si>
    <t>Part 2 discusses aquifer terminology (confined, unconfined, artesian, zones, porosity, etc.), well location criteria, well components, and turbine pumps.</t>
  </si>
  <si>
    <t>2023 WAT-004 Drinking Water Treat | indigowatergroup.ispringmarket.com</t>
  </si>
  <si>
    <t>2023 WAT-005 Water Disinfection | indigowatergroup.ispringmarket.com</t>
  </si>
  <si>
    <t>This drinking water-focused presentation walks the participant through chlorine chemistry, breakpoint chlorination, disinfection equipment, and chlorine safety.</t>
  </si>
  <si>
    <t>2023 WAT-006 Distribution Systems | indigowatergroup.ispringmarket.com</t>
  </si>
  <si>
    <t>A review of the major components of distribution systems including pipes and materials, valves, hydrants, storage reservoirs, meters, and curb stops.</t>
  </si>
  <si>
    <t>2023 WAT-007 Drinking Water MRT | indigowatergroup.ispringmarket.com</t>
  </si>
  <si>
    <t>This course is approved to meet the minimum regulatory training (MRT) requirement for drinking water treatment and distribution system operators in Colorado.</t>
  </si>
  <si>
    <t>2023 WAT-008 Corrosion &amp; Lab | indigowatergroup.ispringmarket.com</t>
  </si>
  <si>
    <t>Discusses different types of corrosion that can occur in water and wastewater systems. Covers common laboratory tests used in distribution systems to manage corrosion.</t>
  </si>
  <si>
    <t>2023 WWT-001 Wastewater Overview | indigowatergroup.ispringmarket.com</t>
  </si>
  <si>
    <t>This presentation introduces operators to wastewater treatment by tracing the flow of water through a facility followed by tracing the path of solids handling.</t>
  </si>
  <si>
    <t>2023 WWT-030 Wastewater MRT Cours | indigowatergroup.ispringmarket.com</t>
  </si>
  <si>
    <t>This course is approved to meet the minimum regulatory training (MRT) requirement for wastewater, industrial wastewater, and collection system operators in Colorado.</t>
  </si>
  <si>
    <t>2023 WWT-029 NPDES Permit Limits | indigowatergroup.ispringmarket.com</t>
  </si>
  <si>
    <t>Learn how NPDES permit limits are determined using technology based limits, water quality based standards, and in-stream dilution factors.</t>
  </si>
  <si>
    <t>2023 WWT-027 Metal Waste Streams | indigowatergroup.ispringmarket.com</t>
  </si>
  <si>
    <t>This course is meant as an introduction to metals precipitation chemistry, pH control, cyanide chemistry.</t>
  </si>
  <si>
    <t>2023 WWT-026 Odor Control | indigowatergroup.ispringmarket.com</t>
  </si>
  <si>
    <t>This presentation discusses the sources of odors in water and wastewater treatment, the chemical composition of odor causing compounds, and methods for odor control.</t>
  </si>
  <si>
    <t>2023 WWT-025 Centrifuge Operation | indigowatergroup.ispringmarket.com</t>
  </si>
  <si>
    <t>This course is devoted to operation and maintenance of centrifuges.  Theory, components, function, and troubleshooting.</t>
  </si>
  <si>
    <t>2023 WWT-024 Belt Filter Presses | indigowatergroup.ispringmarket.com</t>
  </si>
  <si>
    <t>This course is devoted to operation and maintenance of belt filter presses.  Theory of operation, components, function, and troubleshooting.</t>
  </si>
  <si>
    <t>2023 WWT-023 Solids Digestion | indigowatergroup.ispringmarket.com</t>
  </si>
  <si>
    <t>This course focuses specifically on aerobic and anaerobic digestion with a focus on biology, components (parts and purpose), and troubleshooting.</t>
  </si>
  <si>
    <t>2023 WWT-022 Intro to 503 Regs | indigowatergroup.ispringmarket.com</t>
  </si>
  <si>
    <t>Participants will be given an overview of the Biosolids 503 Regulations and their Colorado equivalent including sample calculations for land application.</t>
  </si>
  <si>
    <t>2023 WWT-020 Wastewater Disinfect | indigowatergroup.ispringmarket.com</t>
  </si>
  <si>
    <t>This wastewater-focused presentation walks the participant through chlorine chemistry, the different forms of chlorine available for disinfection, and chlorine safety.</t>
  </si>
  <si>
    <t>2023 WWT-019 AS Process Tests | indigowatergroup.ispringmarket.com</t>
  </si>
  <si>
    <t>Process control tests used for activated sludge process control along with tips for troubleshooting.</t>
  </si>
  <si>
    <t>2023 WWT-018 Secondary Clarifiers | indigowatergroup.ispringmarket.com</t>
  </si>
  <si>
    <t>This course gives an in-depth discussion of secondary clarifier state point analysis, which is a mathematical model used to predict secondary clarifier performance.</t>
  </si>
  <si>
    <t>2023 WWT-017 Phosphorus Removal | indigowatergroup.ispringmarket.com</t>
  </si>
  <si>
    <t>2023 WWT-016 Nitrogen Removal | indigowatergroup.ispringmarket.com</t>
  </si>
  <si>
    <t>This presentation covers biological nitrification and denitrification. Organisms responsible, growth requirements, byproducts, and process control.</t>
  </si>
  <si>
    <t>2023 WWT-014 Activated Sludge Sys | indigowatergroup.ispringmarket.com</t>
  </si>
  <si>
    <t>Different types of activated sludge systems are discussed with a focus on flow patterns (complete mix, plug flow, batch) versus operational methods.</t>
  </si>
  <si>
    <t>2023 WWT-013 Filaments &amp; Settling | indigowatergroup.ispringmarket.com</t>
  </si>
  <si>
    <t>Part 3 focuses on filamentous bacteria, how to identify them, and what their presence may indicate about the activated sludge process.</t>
  </si>
  <si>
    <t>2023 WWT-012B The Micro Exam | indigowatergroup.ispringmarket.com</t>
  </si>
  <si>
    <t>In part two, attendees will learn how to properly set up and care for their microscope and how to properly conduct a microscopic exam.</t>
  </si>
  <si>
    <t>2023 WWT-012A Microbiology 1 | indigowatergroup.ispringmarket.com</t>
  </si>
  <si>
    <t>A three part series.  Part 1 discusses how bacteria are classified, bacterial forms present in activated sludge, and how floc forms.</t>
  </si>
  <si>
    <t>2023 WWT-011 Top 10 Questions | indigowatergroup.ispringmarket.com</t>
  </si>
  <si>
    <t>Activated sludge has 7 variables that are critical for process control. Learn how to select set points for MCRT, SRT, SRTaerobic, RAS pumping, DO, ORP, and more.</t>
  </si>
  <si>
    <t>2023 WWT-010 Activated Sludge Mec | indigowatergroup.ispringmarket.com</t>
  </si>
  <si>
    <t>If activated sludge has never made sense to you, but engines and other mechanical devices do, then this is the course for you.</t>
  </si>
  <si>
    <t>2023 WWT-009 Activated Sludge Bas | indigowatergroup.ispringmarket.com</t>
  </si>
  <si>
    <t>This course introduces participants to the basics of activated sludge. It presents fundamental concepts such as space loading, F:M ratio, MCRT, SRT, solids loading, etc.</t>
  </si>
  <si>
    <t>2023 WWT-008 Lagoons &amp; Fixed Film | indigowatergroup.ispringmarket.com</t>
  </si>
  <si>
    <t>2023 WWT-007 Lagoons and Wetlands | indigowatergroup.ispringmarket.com</t>
  </si>
  <si>
    <t>This presentation covers the method of operation for lagoons and engineered wetlands. Components, function, operation, and troubleshooting.</t>
  </si>
  <si>
    <t>2023 WWT-006 Fixed Film| indigowatergroup.ispringmarket.com</t>
  </si>
  <si>
    <t>This course covers operation of trickling filters (TFs) and rotating biological contactors (RBC).  Components, function, process control, and troubleshooting.</t>
  </si>
  <si>
    <t>2023 WWT-005 Biological Treatment | indigowatergroup.ispringmarket.com</t>
  </si>
  <si>
    <t>Fundamentals basics introduces operators to different groups of microorganisms by comparing them to combustion engines. Defines terms used to classify microorganisms.</t>
  </si>
  <si>
    <t>2023 WWT-003 Preliminary Treatmen | indigowatergroup.ispringmarket.com</t>
  </si>
  <si>
    <t>This course covers preliminary treatment in wastewater treatment plants including screening and grit removal.</t>
  </si>
  <si>
    <t>2023 WWT-002 Wastewater Components| indigowatergroup.ispringmarket.com</t>
  </si>
  <si>
    <t>Explores components of wastewater. Gives typical ratios between components like biochemical oxygen demand (BOD) and total suspended solids (TSS) and others.</t>
  </si>
  <si>
    <t>Wastewater operators must comply with the terms of their discharge permit which requires an understanding of the permit and supporting regulatory structure.</t>
  </si>
  <si>
    <t>Understanding the water cycle is important for source water protection. Knowing the major components of water systems is required for water and distribution system operators.</t>
  </si>
  <si>
    <t>Water treatment plant operators are responsible for managing reservoirs and protecting surface water supplies from contamination.</t>
  </si>
  <si>
    <t>Water and distribution system operators both operate wells and must be familiar with their components and operation as well as how aquifer structure affects water quality and well output.</t>
  </si>
  <si>
    <t>Water treatment plant operators must understand the theory behind the operation of each step of conventional water treatment and membrane water treatment.</t>
  </si>
  <si>
    <t>Disinfection is a critical component of protecting public health for water, wastewater, and distribution system operators.</t>
  </si>
  <si>
    <t>Water and distribution system operators should be familiar with the different components that make up water distribution systems so they can effectively operate them.</t>
  </si>
  <si>
    <t>Water treatment and distribution system operators must comply with the safe drinking water act and delegated regulations in their states.</t>
  </si>
  <si>
    <t>Water treatment and distribution system operators are responsible for maintaining the distribution system. This includes adding corrosion control inhibitors and measuring water quality parameters necessary for adjusting chemical dosage rates.</t>
  </si>
  <si>
    <t>All operators. Math</t>
  </si>
  <si>
    <t>All operators</t>
  </si>
  <si>
    <t>Safety</t>
  </si>
  <si>
    <t>Collection Systems</t>
  </si>
  <si>
    <t>Wastewater and Collection Systems</t>
  </si>
  <si>
    <t>Wastewater / Industrial</t>
  </si>
  <si>
    <t>Wastewater and Collections</t>
  </si>
  <si>
    <t>Drinking Water and Distribution</t>
  </si>
  <si>
    <t>Drinking Water</t>
  </si>
  <si>
    <t>All opertors</t>
  </si>
  <si>
    <t>Water / Wastewater</t>
  </si>
  <si>
    <t>Fundamental</t>
  </si>
  <si>
    <t>Advanced</t>
  </si>
  <si>
    <t>Intermediate</t>
  </si>
  <si>
    <t>MATH-007</t>
  </si>
  <si>
    <t>MATH-008</t>
  </si>
  <si>
    <t>MATH-009</t>
  </si>
  <si>
    <t>Advanced Activated Sludge and Clarifier Math</t>
  </si>
  <si>
    <t>Advanced Anaerobic Digester and Solids Math</t>
  </si>
  <si>
    <t>Advanced Wastewater Math Grab Bag</t>
  </si>
  <si>
    <t>23-10566-001</t>
  </si>
  <si>
    <t>23-10565-001</t>
  </si>
  <si>
    <t>23-10564-001</t>
  </si>
  <si>
    <t>Two full hours of advanced activated sludge and clarifier related math problems are worked through, step by step. These are multi-step problems similar to those that may be found on higher level certification exams.</t>
  </si>
  <si>
    <t>Two full hours of anaerobic digester and solids handling related math problems are worked through, step by step. These are multi-step problems similar to those that may be found on higher level certification exams.</t>
  </si>
  <si>
    <t>This course discusses various process control tests for activated sludge including: measurement of the clarifier blanket (sludge judge), settleometer, diluted settleometer, sludge volume index, OUR and SOUR as well as three different methods for measuring MLSS concentration. Control charts and CUSUM charts and their uses are discussed.  Multiple case studies for troubleshooting are presented.</t>
  </si>
  <si>
    <t>This is the third part of a three-part series on activated sludge microbiology.  Attendees will learn how to identify different activated sludge filaments based on their morphology, location in relation to the floc, and how they respond to different staining techniques.  Growth conditions for filaments commonly found in domestic wastewater treatment plants are presented.</t>
  </si>
  <si>
    <t>2023 MATH-007 Activated Sludge</t>
  </si>
  <si>
    <t>CO_Number_2024</t>
  </si>
  <si>
    <t>24-10565-001</t>
  </si>
  <si>
    <t>24-10564-001</t>
  </si>
  <si>
    <t>24-09506-001</t>
  </si>
  <si>
    <t>24-09505-001</t>
  </si>
  <si>
    <t>24-09451-001</t>
  </si>
  <si>
    <t>24-09382-001</t>
  </si>
  <si>
    <t>24-07222-001</t>
  </si>
  <si>
    <t>24-06009-001</t>
  </si>
  <si>
    <t>24-06011-002</t>
  </si>
  <si>
    <t>24-09381-001</t>
  </si>
  <si>
    <t>24-08959-001</t>
  </si>
  <si>
    <t>24-08902-001</t>
  </si>
  <si>
    <t>24-08901-001</t>
  </si>
  <si>
    <t>24-06015-001</t>
  </si>
  <si>
    <t>24-06016-001</t>
  </si>
  <si>
    <t>24-06018-001</t>
  </si>
  <si>
    <t>24-08900-001</t>
  </si>
  <si>
    <t>24-07727-001</t>
  </si>
  <si>
    <t>24-06020-001</t>
  </si>
  <si>
    <t>24-06022-002</t>
  </si>
  <si>
    <t>24-06024-001</t>
  </si>
  <si>
    <t>24-06025-001</t>
  </si>
  <si>
    <t>24-06012-001</t>
  </si>
  <si>
    <t>24-06672-001</t>
  </si>
  <si>
    <t>24-06046-002</t>
  </si>
  <si>
    <t>24-06007-001</t>
  </si>
  <si>
    <t>24-06006-001</t>
  </si>
  <si>
    <t>Colorado Approval No.
2024</t>
  </si>
  <si>
    <t>24-06005-001</t>
  </si>
  <si>
    <t>24-06004-001</t>
  </si>
  <si>
    <t>24-06003-001</t>
  </si>
  <si>
    <t>24-06002-002</t>
  </si>
  <si>
    <t>24-06001-002</t>
  </si>
  <si>
    <t>24-06000-002</t>
  </si>
  <si>
    <t>24-05999-001</t>
  </si>
  <si>
    <t>24-05998-001</t>
  </si>
  <si>
    <t>24-05996-001</t>
  </si>
  <si>
    <t>24-05995-002</t>
  </si>
  <si>
    <t>24-05994-001</t>
  </si>
  <si>
    <t>24-05991-001</t>
  </si>
  <si>
    <t>24-05987-001</t>
  </si>
  <si>
    <t>24-05988-001</t>
  </si>
  <si>
    <t>24-10566-001</t>
  </si>
  <si>
    <t>24-05986-002</t>
  </si>
  <si>
    <t>24-05985-002</t>
  </si>
  <si>
    <t>24-05984-002</t>
  </si>
  <si>
    <t>24-05983-002</t>
  </si>
  <si>
    <t>24-05990-001</t>
  </si>
  <si>
    <t>24-05992-001</t>
  </si>
  <si>
    <t>24-05993-001</t>
  </si>
  <si>
    <t>7589-9-23</t>
  </si>
  <si>
    <t>All W and D</t>
  </si>
  <si>
    <t>2023 MATH-008 Anaerobic Digester Math Final Quiz</t>
  </si>
  <si>
    <t>2023 Advanced Math Grab Bag Final Quiz</t>
  </si>
  <si>
    <t>Two full hours of advanced wastewater math problems are worked through, step by step.  Chemical addition, pump horsepower, cost to operate, MCRT, and more!  These are multi-step problems similar to those that may be found on higher level certification exams.</t>
  </si>
  <si>
    <t>Subsurface Flow Wetlands for Wastewater Treatment</t>
  </si>
  <si>
    <t>WWT-007B</t>
  </si>
  <si>
    <t>Subsurface flow wetlands can be used as a polishing step following septic tanks or secondary treatment system. They are effective at removing ammonia and nitrate even in cold climates.  The presenter, Dave Flowers, holds many of the patents on engineered wetland systems. This presentation highlights a case study at Kettle Moraine Lutheran High School in Wisconsin taking attendees through the design, components, operation, and performance of the system.</t>
  </si>
  <si>
    <t>Identify components of subsurface flow wetlands.</t>
  </si>
  <si>
    <t>Describe the types of biological treatment taking place in an engineered wetland.</t>
  </si>
  <si>
    <t>Explain why operational tasks are needed and consquences of failing to do them.</t>
  </si>
  <si>
    <t>Compare and contrast wetland treatment performance with other types of treatment.</t>
  </si>
  <si>
    <t>Dave Flowers, PE</t>
  </si>
  <si>
    <t>WWT-007A</t>
  </si>
  <si>
    <t>Wastewater Treatment Lagoons</t>
  </si>
  <si>
    <t>This presentation covers the method of operation for wastewater treatment lagoons. Basic design principals are discussed for lagoons as well as biological processes taking place in aerobic, facultative, and anaerobic ponds. Typical operating ranges for each system type including hydraulic and organic loading rates are presented.  Troubleshooting is discussed and relationships between operating variables.</t>
  </si>
  <si>
    <t>Describe the major components of wastewater treatment ponds and the function of each.</t>
  </si>
  <si>
    <t>Quiz_2024</t>
  </si>
  <si>
    <t>2023 ALL-010 Chemical Handling Final Quiz</t>
  </si>
  <si>
    <t>2023 WWT-004 Primary Treatment Final Quiz</t>
  </si>
  <si>
    <t>2023 WWT-007B Wetlands Final Quiz</t>
  </si>
  <si>
    <t>2023 WWT-007A Wastewater Lagoons Final Quiz</t>
  </si>
  <si>
    <t>2023 WWT-015 SBR Final Quiz</t>
  </si>
  <si>
    <t>2023 WWT-021 UV Disinfection Final Quiz</t>
  </si>
  <si>
    <t>2023 WWT-028 Complete DMR Final Quiz</t>
  </si>
  <si>
    <t>2023 WWT-031 Membranes Final Quiz</t>
  </si>
  <si>
    <t>2023 LAB-011 Coliforms Final Quiz</t>
  </si>
  <si>
    <t>2024 ALL-010 Chemical Handling Final Quiz</t>
  </si>
  <si>
    <t>None for 2022</t>
  </si>
  <si>
    <t>None for 2023</t>
  </si>
  <si>
    <t>24-10618-001</t>
  </si>
  <si>
    <t>24-10616-001</t>
  </si>
  <si>
    <t>24-07745-001</t>
  </si>
  <si>
    <t>24-07744-001</t>
  </si>
  <si>
    <t>24-07709-001</t>
  </si>
  <si>
    <t>24-07704-001</t>
  </si>
  <si>
    <t>24-07639-001</t>
  </si>
  <si>
    <t>24-06038-001</t>
  </si>
  <si>
    <t>24-06037-001</t>
  </si>
  <si>
    <t>24-06036-001</t>
  </si>
  <si>
    <t>24-06035-001</t>
  </si>
  <si>
    <t>24-06034-002</t>
  </si>
  <si>
    <t>24-06033-001</t>
  </si>
  <si>
    <t>24-06032-001</t>
  </si>
  <si>
    <t>24-06030-001</t>
  </si>
  <si>
    <t>24-06028-001</t>
  </si>
  <si>
    <t>24-06026-001</t>
  </si>
  <si>
    <t>24-06023-001</t>
  </si>
  <si>
    <t>24-06008-001</t>
  </si>
  <si>
    <t>Course Instruction Time (minutes) Verified 11/25/2023</t>
  </si>
  <si>
    <t>2024_Time_Hours</t>
  </si>
  <si>
    <t>Total Course Length w/ 30 sec added per quiz question</t>
  </si>
  <si>
    <t>Total Number of Quiz Questions</t>
  </si>
  <si>
    <t>No_Quiz_Qs</t>
  </si>
  <si>
    <t>24-05997-001</t>
  </si>
  <si>
    <t>IWG-B0100-OM</t>
  </si>
  <si>
    <t>IWG-B0101-OM</t>
  </si>
  <si>
    <t>IWG-B0102-OM</t>
  </si>
  <si>
    <t>IWG-B0103-OM</t>
  </si>
  <si>
    <t>IWG-B0104-OM</t>
  </si>
  <si>
    <t>IWG-B0105-OM</t>
  </si>
  <si>
    <t>IWG-B0106-OM</t>
  </si>
  <si>
    <t>IWG-S0107-OM</t>
  </si>
  <si>
    <t>IWG-S0108-OM</t>
  </si>
  <si>
    <t>IWG-S0109-OM</t>
  </si>
  <si>
    <t>IWG-B1101-OM</t>
  </si>
  <si>
    <t>IWG-B1102-OM</t>
  </si>
  <si>
    <t>IWG-B1103-OM</t>
  </si>
  <si>
    <t>IWG-S1104-OM</t>
  </si>
  <si>
    <t>IWG-B1105-OM</t>
  </si>
  <si>
    <t>IWG-B1106-OM</t>
  </si>
  <si>
    <t>IWG-B1107-OM</t>
  </si>
  <si>
    <t>IWG-B1109-OM</t>
  </si>
  <si>
    <t>IWG-B1111-OM</t>
  </si>
  <si>
    <t>IWG-B2101-X</t>
  </si>
  <si>
    <t>IWG-B2102-X</t>
  </si>
  <si>
    <t>IWG-B2104-X</t>
  </si>
  <si>
    <t>IWG-S3101-OM</t>
  </si>
  <si>
    <t>IWG-S3102-OM</t>
  </si>
  <si>
    <t>IWG-S3103-OM</t>
  </si>
  <si>
    <t>IWG-S3104-OM</t>
  </si>
  <si>
    <t>IWG-S3105-OM</t>
  </si>
  <si>
    <t>IWG-S3106-OM</t>
  </si>
  <si>
    <t>IWG-S4101-OM</t>
  </si>
  <si>
    <t>IWG-S4102-OM</t>
  </si>
  <si>
    <t>IWG-S4103-OM</t>
  </si>
  <si>
    <t>IWG-S4104-OM</t>
  </si>
  <si>
    <t>IWG-S4105-OM</t>
  </si>
  <si>
    <t>IWG-S4106-OM</t>
  </si>
  <si>
    <t>IWG-S4107-OM</t>
  </si>
  <si>
    <t>IWG-S4108-OM</t>
  </si>
  <si>
    <t>IWG-S4109-OM</t>
  </si>
  <si>
    <t>IWG-S4110-OM</t>
  </si>
  <si>
    <t>IWG-S4111-OM</t>
  </si>
  <si>
    <t>IWG-S4112-OM</t>
  </si>
  <si>
    <t>IWG-S4113-OM</t>
  </si>
  <si>
    <t>IWG-S4114-OM</t>
  </si>
  <si>
    <t>IWG-B1110-OM</t>
  </si>
  <si>
    <t>IWG-S4115-OM</t>
  </si>
  <si>
    <t>IWG-S4116-OM</t>
  </si>
  <si>
    <t>IWG-S4117-OM</t>
  </si>
  <si>
    <t>IWG-S4118-OM</t>
  </si>
  <si>
    <t>IWG-S4119-OM</t>
  </si>
  <si>
    <t>IWG-S4120-OM</t>
  </si>
  <si>
    <t>IWG-S4121-OM</t>
  </si>
  <si>
    <t>IWG-S4122-OM</t>
  </si>
  <si>
    <t>IWG-S4123-OM</t>
  </si>
  <si>
    <t>IWG-B4124-OM</t>
  </si>
  <si>
    <t>IWG-B4125-OM</t>
  </si>
  <si>
    <t>IWG-S4127-OM</t>
  </si>
  <si>
    <t>IWG-B4128-OM</t>
  </si>
  <si>
    <t>IWG-S4129-OM</t>
  </si>
  <si>
    <t>IWG-S4132-OM</t>
  </si>
  <si>
    <t>IWG-B2103-X</t>
  </si>
  <si>
    <t>IWG-S4133-OM</t>
  </si>
  <si>
    <t>IWG-S4134-OM</t>
  </si>
  <si>
    <t>IWG-D5101-OM</t>
  </si>
  <si>
    <t>IWG-D5102-OM</t>
  </si>
  <si>
    <t>IWG-D5103-OM</t>
  </si>
  <si>
    <t>IWG-D5104-OM</t>
  </si>
  <si>
    <t>IWG-D5105-OM</t>
  </si>
  <si>
    <t>IWG-D5106-OM</t>
  </si>
  <si>
    <t>IWG-D5107-OM</t>
  </si>
  <si>
    <t>IWG-D5108-OM</t>
  </si>
  <si>
    <t>IWG-B6101-OM</t>
  </si>
  <si>
    <t>IWG-B6102-OM</t>
  </si>
  <si>
    <t>IWG-B6103-OM</t>
  </si>
  <si>
    <t>IWG-S6104-OM</t>
  </si>
  <si>
    <t>IWG-B6105-OM</t>
  </si>
  <si>
    <t>IWG-B6106-OM</t>
  </si>
  <si>
    <t>IWG-B6108-OM</t>
  </si>
  <si>
    <t>IWG-B6109-OM</t>
  </si>
  <si>
    <t>IWG-B6111-OM</t>
  </si>
  <si>
    <t>IWG-S4135-OM</t>
  </si>
  <si>
    <t>IWG-S4136-OM</t>
  </si>
  <si>
    <t>IWG-S4126-OM</t>
  </si>
  <si>
    <t>IWG-S1108-OM</t>
  </si>
  <si>
    <t>IWG-S6110-OM</t>
  </si>
  <si>
    <t>24-06696-001</t>
  </si>
  <si>
    <t>24-06039-001</t>
  </si>
  <si>
    <t>24-06019-001</t>
  </si>
  <si>
    <t>24-06017-001</t>
  </si>
  <si>
    <t>24-06010-001</t>
  </si>
  <si>
    <t>Hydraulics of Pumped Systems</t>
  </si>
  <si>
    <t>Drinking water treatment steps: coagulation, flocculation, sedimentation, filtration, and disinfection. Each step explained.</t>
  </si>
  <si>
    <t>This presentation covers the method of operation for engineered wetlands. Components, function, operation, and troubleshooting.</t>
  </si>
  <si>
    <t>This class demonstrates the need for a competent site supervisor to evaluate and take necessary steps to maintain a safe work site.  Uses OSHA standards as a reference for shoring, benching, and safe operation within a construction trench.</t>
  </si>
  <si>
    <t>This class demonstrates the need for a competent site supervisor to evaluate and take necessary steps to maintain a safe work site.  Uses OSHA standards as a reference.</t>
  </si>
  <si>
    <t>Database_ID_2024</t>
  </si>
  <si>
    <t>2024 Database ID Number</t>
  </si>
  <si>
    <t>WWT-031</t>
  </si>
  <si>
    <t>24-06743-002</t>
  </si>
  <si>
    <t>24-06840-002</t>
  </si>
  <si>
    <t>Gravity and Dissolved Air Floatation Thickeners</t>
  </si>
  <si>
    <t>The first 30 minutes of this course discusses gravity thickeners, their theory of operation, their components, operation, and troubleshooting.  The remainder of the course covers dissolved air floatation thickeners (DAFTs)  including: theory of operation, components of both circular and rectangular DAFTs, typical operating parameters for loading and process control, pressurization system components and function, pump types, polymer systems, process control, and basic troubleshooting.</t>
  </si>
  <si>
    <t>Describe and give the function of the major components of gravity thickeners and dissolved air floation thickeners.</t>
  </si>
  <si>
    <t>Explain typical startup and shutdown procedures for gravity thickeners and DAFTs.</t>
  </si>
  <si>
    <t>Explain the impact of process control variables.</t>
  </si>
  <si>
    <t>Calculate process control parameters including: solids loading rate, hydraulic loading rate, percent capture, and volume of float produced.</t>
  </si>
  <si>
    <t>WATER-009</t>
  </si>
  <si>
    <t>Describe the different classifications of fire hydrants.</t>
  </si>
  <si>
    <t>Identify the major components of different types of hydrants.</t>
  </si>
  <si>
    <t>Describe the operation of compression and toggle style hydrants.</t>
  </si>
  <si>
    <t>Describe operational considerations for use of fire hydrants including: marking inoperable hydrants, color coding hydrant barrels, and managing the use of hydrants.</t>
  </si>
  <si>
    <t>List the steps for lubricating dry barrel hydrants.</t>
  </si>
  <si>
    <t>Inspect dry and wet barrel hydrants.</t>
  </si>
  <si>
    <t>Identify and solve common hydrant problems.</t>
  </si>
  <si>
    <t>This course covers the different types of hydrants used in distribution systems, their components, operation and maintenance.</t>
  </si>
  <si>
    <t>24-10672-001</t>
  </si>
  <si>
    <t>24-10671-001</t>
  </si>
  <si>
    <t xml:space="preserve">Primary Treatment </t>
  </si>
  <si>
    <t>IWG-S4137-OM</t>
  </si>
  <si>
    <t>IWG-D5109-OM</t>
  </si>
  <si>
    <t>Fire Hydrant Operation and Inspection (under construction)</t>
  </si>
  <si>
    <t>Top 10 Questions for Activated Sludge Process Control</t>
  </si>
  <si>
    <t>Austin Carnes</t>
  </si>
  <si>
    <t>Course ID</t>
  </si>
  <si>
    <t>Approval</t>
  </si>
  <si>
    <t>Approval #</t>
  </si>
  <si>
    <t xml:space="preserve">Laboratory - Spectroscopic Tests: Fluoride, Nitrite, and Nitrate </t>
  </si>
  <si>
    <t>Laboratory - Ion-Selective Electrodes (ammonia, nitrate, fluoride)</t>
  </si>
  <si>
    <t>Laboratory Testing - Total coliforms by MPN</t>
  </si>
  <si>
    <t>TEST</t>
  </si>
  <si>
    <t>C2</t>
  </si>
  <si>
    <t>All courses within the short school must be completed for this course to count for EITHER 30-days of hands-on entry level experience OR as a substitute for a high school diploma.  May not be used for both. Operators using education as a subsitute for a high school diploma must have 6 months hands on experience to sit for an entry level exam.</t>
  </si>
  <si>
    <t>24-08960-001</t>
  </si>
  <si>
    <t>24-08961-001</t>
  </si>
  <si>
    <t>Operation and maintenance of gravity thickeners and dissolved air floatation thickeners (DAFTs)</t>
  </si>
  <si>
    <t>2024 WWT-031 DAF Thickening | indigowatergroup.ispringmarket.com</t>
  </si>
  <si>
    <t>This course walks attendees through the components of rectangular and circular primary clarifiers.  The course begins with operational theory and explains why primary clarifiers typically remove about 30% of influent BOD and about 50% of influent TSS.  Components and their functions are discussed for each type of clarifier with plenty of pictures to illustrate each component.  The course closes with process control tests and recommended maintenance.</t>
  </si>
  <si>
    <t>2024 WWT-004 Primary Treatment | indigowatergroup.ispringmarket.com</t>
  </si>
  <si>
    <t>Everything you ever wanted to know about primary clarifiers: form, function, operation, design parameters, and troubleshooting.</t>
  </si>
  <si>
    <t>Q1</t>
  </si>
  <si>
    <t>Q4</t>
  </si>
  <si>
    <t>S1</t>
  </si>
  <si>
    <t>Q7</t>
  </si>
  <si>
    <t>C1</t>
  </si>
  <si>
    <t>Q6</t>
  </si>
  <si>
    <t>Q2</t>
  </si>
  <si>
    <t>Q5</t>
  </si>
  <si>
    <t>Q8</t>
  </si>
  <si>
    <t>Q10</t>
  </si>
  <si>
    <t>Q11</t>
  </si>
  <si>
    <t>Transcript?</t>
  </si>
  <si>
    <t>Y</t>
  </si>
  <si>
    <t>Progress</t>
  </si>
  <si>
    <t>N</t>
  </si>
  <si>
    <t>Abandon</t>
  </si>
  <si>
    <t>Republished?</t>
  </si>
  <si>
    <t>Updated in CCWP Portal?</t>
  </si>
  <si>
    <t>Explain how influent wastewater characteristics affect primary clarifier performance.</t>
  </si>
  <si>
    <t>List design parameters for primary clarifiers.</t>
  </si>
  <si>
    <t>List the components of circular and rectangular clarifiers and give the purpose of each.</t>
  </si>
  <si>
    <t>Collect and interpret process control data for primary clarifiers.</t>
  </si>
  <si>
    <t>Compare and contrast rectangular versus circular primary clarifiers.</t>
  </si>
  <si>
    <t>Understand the purpose of primary treatment and when it should be incorporated into a wastewater treatment process.</t>
  </si>
  <si>
    <t>Operators must be able to calculate a number of parameters for activated sludge process control.</t>
  </si>
  <si>
    <t>Operators must be able to calculate a number of parameters for solids handling.</t>
  </si>
  <si>
    <t>Operators must be able to calculate a variety of parameters for process control.</t>
  </si>
  <si>
    <t>Solve math problems related to activated sludge and secondary clarifiers.  Specific types of calculations covered include: sludge volume index (SVI), food-to-microorganism ratio (F:M), return activated sludge concentration (RAS), mean cell residence time (MCRT), clarifier solids loading rate, RAS pumping rate, and aeration costs.</t>
  </si>
  <si>
    <t>Solve math problems related to activated sludge and secondary clarifiers.  Specific types of calculations covered include: percent volatile solids reduction, volume of a conical bottom tank, digester loading rate, volatile acid to alkalinity ratio, chemical dosing, and blending for return stream management.</t>
  </si>
  <si>
    <t xml:space="preserve">Solve math problems related to activated sludge and secondary clarifiers.  Specific types of calculations covered include: chemical dosing, dechlorination, finding the working volume of a wet well, detention time, equivalent pipeline diameters, velocity in a force main, pump horsepower, trickling filter loading rate, primary sludge pump run time, percent volatile solids reduction, mean cell residence time (MCRT), membrane cleaning, and the two-normal equation. </t>
  </si>
  <si>
    <t>Q3</t>
  </si>
  <si>
    <t>Colorado Approval No.
2025</t>
  </si>
  <si>
    <t>25-05983-002</t>
  </si>
  <si>
    <t>25-05984-002</t>
  </si>
  <si>
    <t>25-05985-002</t>
  </si>
  <si>
    <t>25-05986-002</t>
  </si>
  <si>
    <t>25-05987-001</t>
  </si>
  <si>
    <t>25-05988-001</t>
  </si>
  <si>
    <t>25-05990-001</t>
  </si>
  <si>
    <t>25-05991-001</t>
  </si>
  <si>
    <t>25-05992-001</t>
  </si>
  <si>
    <t>25-05993-001</t>
  </si>
  <si>
    <t>25-05998-001</t>
  </si>
  <si>
    <t>25-05999-001</t>
  </si>
  <si>
    <t>25-08959-001</t>
  </si>
  <si>
    <t>25-09451-001</t>
  </si>
  <si>
    <t>25-05997-001</t>
  </si>
  <si>
    <t>25-06000-002</t>
  </si>
  <si>
    <t>25-06001-002</t>
  </si>
  <si>
    <t>25-06002-002</t>
  </si>
  <si>
    <t>25-06005-001</t>
  </si>
  <si>
    <t>25-06003-001</t>
  </si>
  <si>
    <t>25-06004-001</t>
  </si>
  <si>
    <t>25-06006-001</t>
  </si>
  <si>
    <t>25-06007-001</t>
  </si>
  <si>
    <t>25-09381-001</t>
  </si>
  <si>
    <t>25-09382-001</t>
  </si>
  <si>
    <t>25-07222-001</t>
  </si>
  <si>
    <t>25-06009-001</t>
  </si>
  <si>
    <t>25-10618-001</t>
  </si>
  <si>
    <t>25-06010-001</t>
  </si>
  <si>
    <t>25-07727-001</t>
  </si>
  <si>
    <t>25-06011-002</t>
  </si>
  <si>
    <t>25-06012-001</t>
  </si>
  <si>
    <t>25-08900-001</t>
  </si>
  <si>
    <t>25-06015-001</t>
  </si>
  <si>
    <t>25-06016-001</t>
  </si>
  <si>
    <t>25-06017-001</t>
  </si>
  <si>
    <t>25-06018-001</t>
  </si>
  <si>
    <t>25-06019-001</t>
  </si>
  <si>
    <t>25-06020-001</t>
  </si>
  <si>
    <t>25-06022-002</t>
  </si>
  <si>
    <t>25-06023-001</t>
  </si>
  <si>
    <t>25-06024-001</t>
  </si>
  <si>
    <t>25-06025-001</t>
  </si>
  <si>
    <t>25-06026-001</t>
  </si>
  <si>
    <t>25-06030-001</t>
  </si>
  <si>
    <t>25-06035-001</t>
  </si>
  <si>
    <t>25-06036-001</t>
  </si>
  <si>
    <t>25-06037-001</t>
  </si>
  <si>
    <t>25-06038-001</t>
  </si>
  <si>
    <t>25-06039-001</t>
  </si>
  <si>
    <t>25-06046-002</t>
  </si>
  <si>
    <t>25-06672-001</t>
  </si>
  <si>
    <t>25-07639-001</t>
  </si>
  <si>
    <t>25-07704-001</t>
  </si>
  <si>
    <t>25-07709-001</t>
  </si>
  <si>
    <t>25-08960-001</t>
  </si>
  <si>
    <t>25-08961-001</t>
  </si>
  <si>
    <t>25-07745-001</t>
  </si>
  <si>
    <t>25-10616-001</t>
  </si>
  <si>
    <t>25-09505-001</t>
  </si>
  <si>
    <t>25-10564-001</t>
  </si>
  <si>
    <t>25-10565-001</t>
  </si>
  <si>
    <t>25-10566-001</t>
  </si>
  <si>
    <t>25-07744-001</t>
  </si>
  <si>
    <t>25-10672-001</t>
  </si>
  <si>
    <t>25-10671-001</t>
  </si>
  <si>
    <t>25-05996-001</t>
  </si>
  <si>
    <t>25-06033-001</t>
  </si>
  <si>
    <t>25-06028-001</t>
  </si>
  <si>
    <t>25-06032-001</t>
  </si>
  <si>
    <t>25-06034-002</t>
  </si>
  <si>
    <t>25-06696-001</t>
  </si>
  <si>
    <t>25-08901-001</t>
  </si>
  <si>
    <t>25-08902-001</t>
  </si>
  <si>
    <t>25-09506-001</t>
  </si>
  <si>
    <t>Management</t>
  </si>
  <si>
    <t>MAN-001</t>
  </si>
  <si>
    <t>Developing Standard Operating Procedures</t>
  </si>
  <si>
    <t>Final Quiz Name - 2024/2025</t>
  </si>
  <si>
    <t>2025 MAN-001 SOPs Final Quiz</t>
  </si>
  <si>
    <t>25-10928-001</t>
  </si>
  <si>
    <t>Laboratory Testing - BOD Calculations</t>
  </si>
  <si>
    <t>2025 LAB-011 BOD Calculations Final Quiz</t>
  </si>
  <si>
    <t>This 30 minute course walks attendees through calculations for a seeded and unseeded BOD test.  This course includes a downloadable spreadsheet that calculates and validates BOD results.</t>
  </si>
  <si>
    <t>Calculate BOD results for seeded and unseeded samples.</t>
  </si>
  <si>
    <t>Understand why some BOD samples must be seeded.</t>
  </si>
  <si>
    <t>AC and DC Motors (Electrical Fundamentals)</t>
  </si>
  <si>
    <t>Demolition Saws</t>
  </si>
  <si>
    <t>WATER-010</t>
  </si>
  <si>
    <t>Jeff Oxenford</t>
  </si>
  <si>
    <t>Stratus Consulting</t>
  </si>
  <si>
    <t>2025 MATH-000 Strategies Final Quiz</t>
  </si>
  <si>
    <t>2025 MATH-001 Unit Conversions Final Quiz</t>
  </si>
  <si>
    <t>2025 MATH-002 Geometry Final Quiz</t>
  </si>
  <si>
    <t>2025 Chemical Dosing Final Quiz</t>
  </si>
  <si>
    <t>2025 MATH-004 Velocity Final Quiz</t>
  </si>
  <si>
    <t>2025 MATH-005 Geometry and Velocity Final Quiz</t>
  </si>
  <si>
    <t>2025 MATH-006 Dilutions and Blending Final Quiz</t>
  </si>
  <si>
    <t>2025 MATH-007 Activated Sludge</t>
  </si>
  <si>
    <t>2025 MATH-008 Anaerobic Digester Math Final Quiz</t>
  </si>
  <si>
    <t>2025 Advanced Math Grab Bag Final Quiz</t>
  </si>
  <si>
    <t>2025 ALL-001 Pumps Final Quiz</t>
  </si>
  <si>
    <t>2025 ALL-002 Hydraulics Basics Final Quiz</t>
  </si>
  <si>
    <t>2025 ALL-003 Pump Hydraulics Final Quiz</t>
  </si>
  <si>
    <t>2025 ALL-004 Aeration Systems Final Quiz</t>
  </si>
  <si>
    <t>2025 ALL-005 Corrosion Final Quiz</t>
  </si>
  <si>
    <t>2025 ALL-006 Maintenance Final Quiz</t>
  </si>
  <si>
    <t>2025 ALL-007 Electrical Final Quiz</t>
  </si>
  <si>
    <t>2025 ALL-008 Sampling Final Quiz</t>
  </si>
  <si>
    <t>2025 ALL-009 DBPs Final Quiz</t>
  </si>
  <si>
    <t>2025 ALL-011 Backflow Preventers</t>
  </si>
  <si>
    <t>2025 SAF-001 Trenching and Shoring Final Quiz</t>
  </si>
  <si>
    <t>2025 SAF-002 Confined Space Entry Final Quiz</t>
  </si>
  <si>
    <t>2025 SAF-003 LOTO Final Quiz</t>
  </si>
  <si>
    <t>2025 SAF-004 Demo Saw Final Quiz</t>
  </si>
  <si>
    <t>2025 COL-001 Intro to Collections Final Quiz</t>
  </si>
  <si>
    <t>2025 COL-002 Collections Inspect Final Quiz</t>
  </si>
  <si>
    <t>2025 COL-003 Collections Clean Final Quiz</t>
  </si>
  <si>
    <t>2025 COL-004 Lift Stations Final Quiz</t>
  </si>
  <si>
    <t>2025 COL-005 Pretreatment Final Quiz</t>
  </si>
  <si>
    <t>2025 COL-006 Manholes Final Quiz</t>
  </si>
  <si>
    <t>2025 WWT-001 Intro to WW Final Quiz</t>
  </si>
  <si>
    <t>2025 WWT-002 WW Characteristics Final Quiz</t>
  </si>
  <si>
    <t>2025 WWT-003 Preliminary Treatment Final Quiz</t>
  </si>
  <si>
    <t>2025 WWT-004 Primary Treatment Final Quiz</t>
  </si>
  <si>
    <t>2025 WWT-005 Biological Treatment Basics Final Quiz</t>
  </si>
  <si>
    <t>2025 WWT-006 Fixed Film Final Quiz</t>
  </si>
  <si>
    <t>2025 WWT-007 Lagoons and Wetlands Final Quiz</t>
  </si>
  <si>
    <t>2025 WWT-007A Wastewater Lagoons Final Quiz</t>
  </si>
  <si>
    <t>2025 WWT-007B Wetlands Final Quiz</t>
  </si>
  <si>
    <t>2025 WWT-008 Lagoons and FF Final Quiz</t>
  </si>
  <si>
    <t>2025 WWT-009 AS Basics Final Quiz</t>
  </si>
  <si>
    <t>2025 WWT-010 AS Mechanical Final Quiz</t>
  </si>
  <si>
    <t>2025 WWT-011 AS Top 10 Final Quiz</t>
  </si>
  <si>
    <t>2025 WWT-012A A View Beneath the Surface Final Quiz</t>
  </si>
  <si>
    <t>2025 WWT-012B Microscope Basics Final Quiz</t>
  </si>
  <si>
    <t>2025 WWT-013 Filaments and Settling Problems Final Quiz</t>
  </si>
  <si>
    <t>2025 WWT-014 AS Types Final Quiz</t>
  </si>
  <si>
    <t>2025 WWT-015 SBR Final Quiz</t>
  </si>
  <si>
    <t>2025 WWT-016 Nitrogen Removal Final Quiz</t>
  </si>
  <si>
    <t>2025 WWT-017 Phosphorus Removal Final Quiz</t>
  </si>
  <si>
    <t>2025 WWT-018 Clarifiers Final Quiz</t>
  </si>
  <si>
    <t>2025 WWT-019 AS Process Tests Final Quiz</t>
  </si>
  <si>
    <t>2025 WWT-031 Membranes Final Quiz</t>
  </si>
  <si>
    <t>2025 WWT-020 Chlorine Disinfection Final Quiz</t>
  </si>
  <si>
    <t>2025 WWT-021 UV Disinfection Final Quiz</t>
  </si>
  <si>
    <t>2025 WWT-022 Intro to 503 Regs Final Quiz</t>
  </si>
  <si>
    <t>2025 WWT-023 Digestion Final Quiz</t>
  </si>
  <si>
    <t>2025 WWT-024 Belt Filter Presses Final Quiz</t>
  </si>
  <si>
    <t>2025 WWT-025 Centrifuges Final Quiz</t>
  </si>
  <si>
    <t>2025 WWT-031 DAFTs Final Quiz</t>
  </si>
  <si>
    <t>2025 WWT-026 Odor Control Final Quiz</t>
  </si>
  <si>
    <t>2025 WWT-027 Metals Precip Final Quiz</t>
  </si>
  <si>
    <t>2025 WWT-028 Complete DMR Final Quiz</t>
  </si>
  <si>
    <t>2025 WWT-029 Permit Limits Final Quiz</t>
  </si>
  <si>
    <t>2025 Post-Quiz for Wastewater MRT</t>
  </si>
  <si>
    <t>2025 WAT-001 Intro to Small Water Systems Final Quiz</t>
  </si>
  <si>
    <t>2025 WAT-002 Sources Part 1 Final Quiz</t>
  </si>
  <si>
    <t>2025 WAT-003 Sources Part 2 Final Quiz</t>
  </si>
  <si>
    <t>2025 WAT-004 Drinking Water Treatment Final Quiz</t>
  </si>
  <si>
    <t>2025 WAT-005 Drinking Water Disinfection Final Quiz</t>
  </si>
  <si>
    <t>2025 WAT-006 Distribution Final Quiz</t>
  </si>
  <si>
    <t>2025 Post-Quiz for Drinking Water MRT</t>
  </si>
  <si>
    <t>2025 WAT-008 Corr Lab Final Quiz</t>
  </si>
  <si>
    <t>2025 LAB-001 Chemistry Final Quiz</t>
  </si>
  <si>
    <t>2025 LAB-002 pH Alk Hard Final Quiz</t>
  </si>
  <si>
    <t>2025 LAB-003 TDS Cond Turb Final Quiz</t>
  </si>
  <si>
    <t>2025 LAB-004 Laboratory TSS Final Quiz</t>
  </si>
  <si>
    <t>2025 LAB-005 Spectrophotometers Final Quiz</t>
  </si>
  <si>
    <t>2025 LAB-006 Chlorine Residual</t>
  </si>
  <si>
    <t>2025 LAB-007 Spec Tests Final Quiz</t>
  </si>
  <si>
    <t>2025 LAB-008 ISE Final Quiz</t>
  </si>
  <si>
    <t>2025 Jar Testing Final Quiz</t>
  </si>
  <si>
    <t>2025 LAB-010 BOD Final Quiz</t>
  </si>
  <si>
    <t>2025 LAB-011 Coliforms Final Quiz</t>
  </si>
  <si>
    <t>2025 WAT-009 Storage Tanks Part 1 Final Quiz</t>
  </si>
  <si>
    <t>2025 WAT-010 Storage Tanks Part 2 Final Quiz</t>
  </si>
  <si>
    <t>2025 WAT-011 Storage Tanks Part 3 Final Quiz</t>
  </si>
  <si>
    <t>25-10976-001</t>
  </si>
  <si>
    <t>25-10977-001</t>
  </si>
  <si>
    <t>25-10978-001</t>
  </si>
  <si>
    <t>WATER-011</t>
  </si>
  <si>
    <t>WATER-012</t>
  </si>
  <si>
    <t>Water Storage Tanks Part 3 - Inspections</t>
  </si>
  <si>
    <t>Water Storage Tanks Part 2 - Water Age and Quality</t>
  </si>
  <si>
    <t>Water Storage Tanks Part 1 - Components</t>
  </si>
  <si>
    <t>IWG-D5110-OM</t>
  </si>
  <si>
    <t>IWG-D5111-OM</t>
  </si>
  <si>
    <t>IWG-D5112-OM</t>
  </si>
  <si>
    <t>This course on water storage tanks has been divided into three parts.  Part 3 discusses water storage tank inspection and procedures for placing storage tanks back into service after cleaning or maintenance is complete.</t>
  </si>
  <si>
    <t>Describe various types of inspections and what they include.</t>
  </si>
  <si>
    <t>Explain what to look for during an inspection of water storage facilities.</t>
  </si>
  <si>
    <t>Understand the fundamentals of tank cleaning.</t>
  </si>
  <si>
    <t>Describe the procedures required to disinfect a storage facility.</t>
  </si>
  <si>
    <t>Understand the steps required to return a tank to service after it has been cleaned.</t>
  </si>
  <si>
    <t>This course on water storage tanks has been divided into three parts.  Part 1 discusses why managing water quality in storage tanks is important and goes over the different components of storage tanks.</t>
  </si>
  <si>
    <t>After completing this course, attendees should be able to list the different components of water storage tanks and give the functions of each.</t>
  </si>
  <si>
    <t>After completing this course, attendees will be able to explain why maintaining water quality in storage tanks is important.</t>
  </si>
  <si>
    <t>This course on water storage tanks has been divided into three parts.  Part 2 discusses water quality considerations for water storage tanks, monitoring, maintenance of water storage tanks, and management of water age.</t>
  </si>
  <si>
    <t>Be able to identify key chemical, biological, and physical factors that impact water quality in storage.</t>
  </si>
  <si>
    <t>Be able to describe how operational conditions (hydraulics, seasonal impacts, and external contamination) can impact water quality.</t>
  </si>
  <si>
    <t>IWG-S6112-OM</t>
  </si>
  <si>
    <t>25-10938-001</t>
  </si>
  <si>
    <t>25-06840-002</t>
  </si>
  <si>
    <t>25-06743-002</t>
  </si>
  <si>
    <t>25-06008-001</t>
  </si>
  <si>
    <t>25-05994-001</t>
  </si>
  <si>
    <t>LAB-012</t>
  </si>
  <si>
    <t>WWT-006B</t>
  </si>
  <si>
    <t>Fixed Film: Trickling Filters and RBCs - 2025</t>
  </si>
  <si>
    <t>MAN-007</t>
  </si>
  <si>
    <t>MAN-002</t>
  </si>
  <si>
    <t>MAN-003</t>
  </si>
  <si>
    <t>MAN-004</t>
  </si>
  <si>
    <t>MAN-005</t>
  </si>
  <si>
    <t>MAN-006</t>
  </si>
  <si>
    <t>Laboratory - Spectroscopic Tests: Fluoride, Nitrite, and Nitrate</t>
  </si>
  <si>
    <t>Not yet approved</t>
  </si>
  <si>
    <t>IWG-B7101-X</t>
  </si>
  <si>
    <t>This session will provide tips and tricks for developing effective standards operating procedures (SOPs). These were developed as part of a cooperative effort with leading utilities through the SOP Cooperative.</t>
  </si>
  <si>
    <t>Two full hours of advanced activated sludge and clarifier related math problems are worked through, step by step. These are advanced multi-step problems.</t>
  </si>
  <si>
    <t>Operation of wastewater treatment ponds.  Describes components, biology, and troubleshooting.</t>
  </si>
  <si>
    <t>This course is an introduction to biological and chemical phosphorus removal: organisms responsible, growth requirements, byproducts, and process control.</t>
  </si>
  <si>
    <t>This 30 minute course walks attendees through calculations for a seeded and unseeded BOD test.  This course includes a downloadable spreadsheet.</t>
  </si>
  <si>
    <t>Speaker's Address</t>
  </si>
  <si>
    <t>Speaker's Phone Number</t>
  </si>
  <si>
    <t>8513 S. Newcombe Way, Littleton, CO 80127</t>
  </si>
  <si>
    <t>303-489-9226</t>
  </si>
  <si>
    <t>3927 Boteler Rd, Mount Airy, MD 21771</t>
  </si>
  <si>
    <t>301-639-2031</t>
  </si>
  <si>
    <t>Mechatronic Design and Media</t>
  </si>
  <si>
    <t>12060 County Line Road, Suite J, #237, Madison, AL 35736</t>
  </si>
  <si>
    <t>Hydrolysis</t>
  </si>
  <si>
    <t>17191 E. Ida Place, Centennial, CO 80115</t>
  </si>
  <si>
    <t>303-551-5176</t>
  </si>
  <si>
    <t>City of Brush</t>
  </si>
  <si>
    <t>PO Box 363, Brush, CO 80723</t>
  </si>
  <si>
    <t>970-842-5001</t>
  </si>
  <si>
    <t>12249 Mead Way, Littleton, CO 80125</t>
  </si>
  <si>
    <t>720-205-0646</t>
  </si>
  <si>
    <t>8513 S. Newcombe Way, Littleton, CO 80127 and 668 Martin Drive, Cedarburg, WI 53012</t>
  </si>
  <si>
    <t>303-489-9226 and 414-791-6030</t>
  </si>
  <si>
    <t>668 Martin Drive, Cedarburg, WI 53012</t>
  </si>
  <si>
    <t>414-791-6030</t>
  </si>
  <si>
    <t>408 Scott Lane, Wallingford, PA 19086</t>
  </si>
  <si>
    <t>215-327-4306</t>
  </si>
  <si>
    <t>1917 VT Route 232, Marshfield, VT 05658</t>
  </si>
  <si>
    <t>510-708-8938</t>
  </si>
  <si>
    <t>501 Great Circle Rd, Suite 150, Nashville, TN 37228</t>
  </si>
  <si>
    <t>615-430-2381</t>
  </si>
  <si>
    <t>990 S. Broadway, Suite 400, Denver, CO 80209</t>
  </si>
  <si>
    <t>303-807-9985</t>
  </si>
  <si>
    <t>PO Box 179, M/A H1582, Denver, CO 80201-0179</t>
  </si>
  <si>
    <t>720-220-1442</t>
  </si>
  <si>
    <t>2100 Washington Ave, Golden, CO 80401</t>
  </si>
  <si>
    <t>720-353-4242</t>
  </si>
  <si>
    <t>Understand why standard operating procedures are needed.</t>
  </si>
  <si>
    <t>List criteria for developing effective standard operating procedures.</t>
  </si>
  <si>
    <t>Number of Learning Objectives</t>
  </si>
  <si>
    <t>Understand that Clean Water Act Rules are applied in Colorado through the Colorado Water Quality Control Act.</t>
  </si>
  <si>
    <t>Understand that direct dischargers are permitted through the Colorado NPDES system.</t>
  </si>
  <si>
    <t>Understand that dischargers must self-monitor and self-report.</t>
  </si>
  <si>
    <t>Determine the types and frequencies of samples to collect from reading a permit.</t>
  </si>
  <si>
    <t>Know where to find approved testing methods.</t>
  </si>
  <si>
    <t>Understand the importance of monitoring and maintaining the collection system.</t>
  </si>
  <si>
    <t>Explain the Federal Pretreatment Program and how it applies to significant and categorical dischargers.</t>
  </si>
  <si>
    <t>Understand the 503 regulations and the permitting and reporting requirements for land application of biosolids.</t>
  </si>
  <si>
    <t>Understand a high-level overview of the Safe Drinking Water Act.</t>
  </si>
  <si>
    <t>Understand what a public water system is based on population served, type of population, and when water is provided.</t>
  </si>
  <si>
    <t>Know how to locate and utilize your monitoring plan and monitoring schedule.</t>
  </si>
  <si>
    <t>Know where to find the regulations, policies, and guidance that govern public water systems.</t>
  </si>
  <si>
    <t>Define various regulatory terms.</t>
  </si>
  <si>
    <t>List requirements for public notices.</t>
  </si>
  <si>
    <t>Know when and how to call CDPHE in the event of an emergency.</t>
  </si>
  <si>
    <t>Course Prerequisites</t>
  </si>
  <si>
    <t>Attendees should have a working knowledge of basic math: addition, subtraction, multiplication, division, fractions, and decimals.</t>
  </si>
  <si>
    <t>Attendees should have a working knowledge of basic math: addition, subtraction, multiplication, division, fractions, and decimals.  They should also know how to convert units.</t>
  </si>
  <si>
    <t>No prerequistes are required for this course.</t>
  </si>
  <si>
    <t>Attendees should complete the pumps course prior to taking this one and be able to rearrange algebraic equations.</t>
  </si>
  <si>
    <t>While there are no prerequisites for this course, it is helpful for attendees to have some knowledge of chemistry and water distribution systems.</t>
  </si>
  <si>
    <t>While not required, it is helpful for attendees to complete the Biological Treatment Basics course before starting this one.</t>
  </si>
  <si>
    <t>While not required, it is helpful for attendees to complete the Activated Sludge Basics and Biological Treatment Basics courses before starting this one.</t>
  </si>
  <si>
    <t>While not required, it is helpful for attendees to complete the "A View Beneath the Surface" course prior to taking this one.</t>
  </si>
  <si>
    <t>Attendees should have a fundamental understanding of activated sludge microbiology before taking this course.</t>
  </si>
  <si>
    <t>While not required, it is helpful for attendees to attend the Biological Treatment Basics course before taking this course.</t>
  </si>
  <si>
    <t>Attendees should be familiar witth the components and function of secondary clarifiers before taking this course.  Attendees should know how to perform a settleometer test before taking this course.</t>
  </si>
  <si>
    <t>Attendees should be familiar with the activated sludge process before taking this course.</t>
  </si>
  <si>
    <t>No prerequisites for this course.</t>
  </si>
  <si>
    <t>Attendees should complete the Basic Chemistry course or have a working knowledge of the periodic table and chemical equations prior to taking this course.</t>
  </si>
  <si>
    <t>2025-01 Math Bundle</t>
  </si>
  <si>
    <t>2025-02 Advanced Wastewater Math Bundle</t>
  </si>
  <si>
    <t>2025-03 Mix It Up Bundle 1</t>
  </si>
  <si>
    <t>2025-04 Mix It Up Bundle 2</t>
  </si>
  <si>
    <t>2025-05 Laboratory Procedures Bundle</t>
  </si>
  <si>
    <t>2025-06 Small Water Systems Renewal (Colorado)</t>
  </si>
  <si>
    <t>2025-07 Water D / Distribution 1 Renewal (Colorado)</t>
  </si>
  <si>
    <t>2025-08 Water C / Distribution 2 Renewal (Colorado)</t>
  </si>
  <si>
    <t>2025-09 Water B / Distribution 3 Renewal (Colorado)</t>
  </si>
  <si>
    <t>2025-10 Water A / Distribution 4 Renewal (Colorado)</t>
  </si>
  <si>
    <t>2025-11 Small Wastewater Systems Renewal (Colorado)</t>
  </si>
  <si>
    <t>2025-12 Wastewater D Renewal (Colorado)</t>
  </si>
  <si>
    <t>2025-13 Wastewater C Renewal (Colorado)</t>
  </si>
  <si>
    <t>2025-14 Wastewater B Renewal (Colorado)</t>
  </si>
  <si>
    <t>2025-15 Wastewater A Renewal (Colorado)</t>
  </si>
  <si>
    <t>2025-16 Activated Sludge Bundle</t>
  </si>
  <si>
    <t>2025-17 Solids Handling Bundle</t>
  </si>
  <si>
    <t>2025-18 Collections 1 Renewal (Colorado)</t>
  </si>
  <si>
    <t>2025-19 Collections 2 Renewal (Colorado)</t>
  </si>
  <si>
    <t>2025-20 Collections 3 Renewal (Colorado)</t>
  </si>
  <si>
    <t>2025-21 Collections 4 Renewal (Colorado)</t>
  </si>
  <si>
    <t>2025-22 Joint Renewal Wastewater D and Drinking Water D (Colorado)</t>
  </si>
  <si>
    <t>2025-23 Joint Renewal Wastewater C and Drinking Water C or S (Colorado)</t>
  </si>
  <si>
    <t>2025-24 Joint Renewal Wastewater B and Drinking Water B (Colorado)</t>
  </si>
  <si>
    <t>2025-25 Joint Renewal Wastewater A and Drinking Water A (Colorado)</t>
  </si>
  <si>
    <t>2025-26 Joint Renewal Collections 1 and Distribution 1 (Colorado)</t>
  </si>
  <si>
    <t>2025-27 Joint Renewal Collections 2 and Distribution 2 (Colorado)</t>
  </si>
  <si>
    <t>2025-28 Joint Renewal Collections 3 and Distribution 3 (Colorado)</t>
  </si>
  <si>
    <t>2025-29 Joint Renewal Collections 4 and Distribution 4 (Colorado)</t>
  </si>
  <si>
    <t>Understand the chemistry behind three different spectroscopic tests.</t>
  </si>
  <si>
    <t>Explain which quality control samples are needed for each method and what information they give the analyst.</t>
  </si>
  <si>
    <t>Produce laboratory data that is accurate, precise, and defensible.</t>
  </si>
  <si>
    <t>Explain how the different types of ion-selective electrodes are constructed.</t>
  </si>
  <si>
    <t>Correctly perform laboratory testing with ion-selective electrodes.</t>
  </si>
  <si>
    <t>Understand that ion-selective electrodes drift and that initial and continueing calibration verification checks are necessary to check for drift.</t>
  </si>
  <si>
    <t>List the required quality control samples and explain what information they give the analyst.</t>
  </si>
  <si>
    <t>Produce laboratory data that is accurate, precise, and defendable.</t>
  </si>
  <si>
    <t>NV24-722</t>
  </si>
  <si>
    <t>NV24-726</t>
  </si>
  <si>
    <t>NV24-719</t>
  </si>
  <si>
    <t>NV24-721</t>
  </si>
  <si>
    <t>25-05995-002</t>
  </si>
  <si>
    <t>This course on sequencing batch reactors covers everything from components and their functions through process control strategies and troubleshooting.  We will compare and contrast SBRs with conventional activated sludge systems while highlighting the pros and cons of SBR systems.  Traditional SBRs suffer from some unique problems caused by uneven BOD loading to different SBRs and failing to mix MLSS between SBRs that can cause each SBR to behave as a separate treatment system with its own sludge age and food-to-microorganism ratio.  We will discuss modern modifications to SBRs that reduce or eliminate these problems.  Finally, the class ends with a section on troubleshooting common operational problems.</t>
  </si>
  <si>
    <t>Compare and contrast the differences between conventional activated sludge and sequencing batch reactors</t>
  </si>
  <si>
    <t>List the components of SBRs and give the function of each component</t>
  </si>
  <si>
    <t>Compare and contrast the different operating philosophies for SBRs</t>
  </si>
  <si>
    <t>Understand process control variables for SBRs</t>
  </si>
  <si>
    <t>Troubleshoot common issues with SBRs</t>
  </si>
  <si>
    <t>Wastewater operators must understand the purpose and function of primary clarifiers as well as their components so they can operate and troubleshoot them effectively.</t>
  </si>
  <si>
    <t>Lagoons are used to treat wastewater and make up just under half of all treatment plants in the United States.</t>
  </si>
  <si>
    <t>Wetlands are used to treat wastewater. Operators should understand how to operate and maintain them.  They are part of the need-to-know criteria for exams under natural treatment systems.</t>
  </si>
  <si>
    <t>Sequencing batch reactors are the fastest growing category of activated sludge treatment processes.  Operators should understand the differences between SBRs and conventional activated sludge.</t>
  </si>
  <si>
    <t>Water storage tanks are a critical component of water distribution systems.  Operators must understand how to operate them and how they can impact water quality as well as how to perform inspections.</t>
  </si>
  <si>
    <t>Sequencing Batch Reactors</t>
  </si>
  <si>
    <t>Membranes for Water and Wastewater Treatment</t>
  </si>
  <si>
    <t>UV Disinfection</t>
  </si>
  <si>
    <t>7998-25-3</t>
  </si>
  <si>
    <t>7999-25-3</t>
  </si>
  <si>
    <t>WW and Industrial</t>
  </si>
  <si>
    <t>8000-25-3</t>
  </si>
  <si>
    <t>8001-25-3</t>
  </si>
  <si>
    <t>8002-25-3</t>
  </si>
  <si>
    <t>8003-25-3</t>
  </si>
  <si>
    <t>7973-25-3</t>
  </si>
  <si>
    <t>7974-25-3</t>
  </si>
  <si>
    <t>7975-25-3</t>
  </si>
  <si>
    <t>7976-25-3</t>
  </si>
  <si>
    <t>7977-25-3</t>
  </si>
  <si>
    <t>7978-25-3</t>
  </si>
  <si>
    <t>7979-25-3</t>
  </si>
  <si>
    <t>7980-25-3</t>
  </si>
  <si>
    <t>7981-25-3</t>
  </si>
  <si>
    <t>7982-25-3</t>
  </si>
  <si>
    <t>8004-25-3</t>
  </si>
  <si>
    <t>8005-25-3</t>
  </si>
  <si>
    <t>8006-25-3</t>
  </si>
  <si>
    <t>7983-25-3</t>
  </si>
  <si>
    <t>7984-25-3</t>
  </si>
  <si>
    <t>7985-25-3</t>
  </si>
  <si>
    <t>7986-25-3</t>
  </si>
  <si>
    <t>7987-25-3</t>
  </si>
  <si>
    <t>7988-25-3</t>
  </si>
  <si>
    <t>8016-25-3</t>
  </si>
  <si>
    <t>8017-25-3</t>
  </si>
  <si>
    <t>8018-25-3</t>
  </si>
  <si>
    <t>8019-25-3</t>
  </si>
  <si>
    <t>8020-25-3</t>
  </si>
  <si>
    <t>8021-25-3</t>
  </si>
  <si>
    <t>8022-25-3</t>
  </si>
  <si>
    <t>8023-25-3</t>
  </si>
  <si>
    <t>8024-25-3</t>
  </si>
  <si>
    <t>8025-25-3</t>
  </si>
  <si>
    <t>8026-25-3</t>
  </si>
  <si>
    <t>8027-25-3</t>
  </si>
  <si>
    <t>8028-25-3</t>
  </si>
  <si>
    <t>8029-25-3</t>
  </si>
  <si>
    <t>8030-25-3</t>
  </si>
  <si>
    <t>8031-25-3</t>
  </si>
  <si>
    <t>8032-25-3</t>
  </si>
  <si>
    <t>8033-25-3</t>
  </si>
  <si>
    <t>8034-25-3</t>
  </si>
  <si>
    <t>8035-25-3</t>
  </si>
  <si>
    <t>8036-25-3</t>
  </si>
  <si>
    <t>8037-25-3</t>
  </si>
  <si>
    <t>8038-25-3</t>
  </si>
  <si>
    <t>8042-25-3</t>
  </si>
  <si>
    <t>8039-25-3</t>
  </si>
  <si>
    <t>8040-25-3</t>
  </si>
  <si>
    <t>8041-25-3</t>
  </si>
  <si>
    <t>WW 3, 4, 5, A; Ind 5 Operators</t>
  </si>
  <si>
    <t>8007-25-3</t>
  </si>
  <si>
    <t>8008-25-3</t>
  </si>
  <si>
    <t>8009-25-3</t>
  </si>
  <si>
    <t>8010-25-3</t>
  </si>
  <si>
    <t>8011-25-3</t>
  </si>
  <si>
    <t>8012-25-3</t>
  </si>
  <si>
    <t>8013-25-3</t>
  </si>
  <si>
    <t>8014-25-3</t>
  </si>
  <si>
    <t>8015-25-3</t>
  </si>
  <si>
    <t>Water Treatment Operators</t>
  </si>
  <si>
    <t>7989-25-3</t>
  </si>
  <si>
    <t>7990-25-3</t>
  </si>
  <si>
    <t>7991-25-3</t>
  </si>
  <si>
    <t>7992-25-3</t>
  </si>
  <si>
    <t>7993-25-3</t>
  </si>
  <si>
    <t>7994-25-3</t>
  </si>
  <si>
    <t>7995-25-3</t>
  </si>
  <si>
    <t>7996-25-3</t>
  </si>
  <si>
    <t>All Water, WW and Ind</t>
  </si>
  <si>
    <t>7997-25-3</t>
  </si>
  <si>
    <t>All / All</t>
  </si>
  <si>
    <t>All Industrial Operators</t>
  </si>
  <si>
    <t>NV25-080</t>
  </si>
  <si>
    <t>NV25-097</t>
  </si>
  <si>
    <t>NV25-054</t>
  </si>
  <si>
    <t>NV25-044</t>
  </si>
  <si>
    <t>NV25-100</t>
  </si>
  <si>
    <t>NV25-055</t>
  </si>
  <si>
    <t>NV25-098</t>
  </si>
  <si>
    <t>NV25-033</t>
  </si>
  <si>
    <t>NV25-034</t>
  </si>
  <si>
    <t>NV25-035</t>
  </si>
  <si>
    <t>NV25-088</t>
  </si>
  <si>
    <t>NV25-058</t>
  </si>
  <si>
    <t>NV25-059</t>
  </si>
  <si>
    <t>NV25-036</t>
  </si>
  <si>
    <t>NV25-050</t>
  </si>
  <si>
    <t>NV25-078</t>
  </si>
  <si>
    <t>NV25-026</t>
  </si>
  <si>
    <t>NV25-089</t>
  </si>
  <si>
    <t>NV25-052</t>
  </si>
  <si>
    <t>NV25-038</t>
  </si>
  <si>
    <t>NV25-095</t>
  </si>
  <si>
    <t>NV25-049</t>
  </si>
  <si>
    <t>NV25-077</t>
  </si>
  <si>
    <t>NV25-051</t>
  </si>
  <si>
    <t>NV25-060</t>
  </si>
  <si>
    <t>NV25-046</t>
  </si>
  <si>
    <t>NV25-047</t>
  </si>
  <si>
    <t>NV25-076</t>
  </si>
  <si>
    <t>NV25-086</t>
  </si>
  <si>
    <t>NV25-079</t>
  </si>
  <si>
    <t>NV25-062</t>
  </si>
  <si>
    <t>NV25-102</t>
  </si>
  <si>
    <t>NV25-085</t>
  </si>
  <si>
    <t>NV25-087</t>
  </si>
  <si>
    <t>NV25-042</t>
  </si>
  <si>
    <t>NV25-053</t>
  </si>
  <si>
    <t>NV25-075</t>
  </si>
  <si>
    <t>NV25-101</t>
  </si>
  <si>
    <t>NV25-092</t>
  </si>
  <si>
    <t>NV25-074</t>
  </si>
  <si>
    <t>NV25-027</t>
  </si>
  <si>
    <t>NV25-028</t>
  </si>
  <si>
    <t>NV25-093</t>
  </si>
  <si>
    <t>NV25-029</t>
  </si>
  <si>
    <t>NV25-031</t>
  </si>
  <si>
    <t>NV25-030</t>
  </si>
  <si>
    <t>NV25-096</t>
  </si>
  <si>
    <t>NV25-090</t>
  </si>
  <si>
    <t>NV25-083</t>
  </si>
  <si>
    <t>NV25-041</t>
  </si>
  <si>
    <t>NV25-091</t>
  </si>
  <si>
    <t>NV25-032</t>
  </si>
  <si>
    <t>NV25-081</t>
  </si>
  <si>
    <t>NV25-045</t>
  </si>
  <si>
    <t>NV25-099</t>
  </si>
  <si>
    <t>NV25-061</t>
  </si>
  <si>
    <t>NV25-037</t>
  </si>
  <si>
    <t>NV25-040</t>
  </si>
  <si>
    <t>NV25-043</t>
  </si>
  <si>
    <t>NV25-056</t>
  </si>
  <si>
    <t>NV25-084</t>
  </si>
  <si>
    <t>NV25-094</t>
  </si>
  <si>
    <t>NV25-048</t>
  </si>
  <si>
    <t>NV25-057</t>
  </si>
  <si>
    <t>NV25-082</t>
  </si>
  <si>
    <t>Maryland Course Code (03/24/2025)</t>
  </si>
  <si>
    <t>Nevada Course No.  (03/24/2025)</t>
  </si>
  <si>
    <t>Wyoming Catalog Number  (03/24/2025)</t>
  </si>
  <si>
    <t>25-11101-001</t>
  </si>
  <si>
    <t>Ohio Approval Numbers 2025</t>
  </si>
  <si>
    <t>IWG-B010025-OM</t>
  </si>
  <si>
    <t>IWG-B010125-OM</t>
  </si>
  <si>
    <t>IWG-B010225-OM</t>
  </si>
  <si>
    <t>IWG-B010325-OM</t>
  </si>
  <si>
    <t>IWG-B010425-OM</t>
  </si>
  <si>
    <t>IWG-B010525-OM</t>
  </si>
  <si>
    <t>IWG-B010625-OM</t>
  </si>
  <si>
    <t>IWG-S010725-OM</t>
  </si>
  <si>
    <t>IWG-S010825-OM</t>
  </si>
  <si>
    <t>IWG-S010925-OM</t>
  </si>
  <si>
    <t>IWG-B110125-OM</t>
  </si>
  <si>
    <t>IWG-B110225-OM</t>
  </si>
  <si>
    <t>IWG-B110325-OM</t>
  </si>
  <si>
    <t>IWG-S110425-OM</t>
  </si>
  <si>
    <t>IWG-B110525-OM</t>
  </si>
  <si>
    <t>IWG-B110625-OM</t>
  </si>
  <si>
    <t>IWG-B110725-OM</t>
  </si>
  <si>
    <t>IWG-S110825-OM</t>
  </si>
  <si>
    <t>IWG-B110925-OM</t>
  </si>
  <si>
    <t>IWG-B111025-OM</t>
  </si>
  <si>
    <t>IWG-B111125-OM</t>
  </si>
  <si>
    <t>IWG-B210125-X</t>
  </si>
  <si>
    <t>IWG-B210225-X</t>
  </si>
  <si>
    <t>IWG-B210325-X</t>
  </si>
  <si>
    <t>IWG-B210425-X</t>
  </si>
  <si>
    <t>IWG-S310125-OM</t>
  </si>
  <si>
    <t>IWG-S310225-OM</t>
  </si>
  <si>
    <t>IWG-S310325-OM</t>
  </si>
  <si>
    <t>IWG-S310425-OM</t>
  </si>
  <si>
    <t>IWG-S310525-OM</t>
  </si>
  <si>
    <t>IWG-S310625-OM</t>
  </si>
  <si>
    <t>IWG-S410125-OM</t>
  </si>
  <si>
    <t>IWG-S410225-OM</t>
  </si>
  <si>
    <t>IWG-S410325-OM</t>
  </si>
  <si>
    <t>IWG-S410425-OM</t>
  </si>
  <si>
    <t>IWG-S410525-OM</t>
  </si>
  <si>
    <t>IWG-S410625-OM</t>
  </si>
  <si>
    <t>IWG-S410725-OM</t>
  </si>
  <si>
    <t>IWG-S410825-OM</t>
  </si>
  <si>
    <t>IWG-S410925-OM</t>
  </si>
  <si>
    <t>IWG-S411025-OM</t>
  </si>
  <si>
    <t>IWG-S411125-OM</t>
  </si>
  <si>
    <t>IWG-S411225-OM</t>
  </si>
  <si>
    <t>IWG-S411325-OM</t>
  </si>
  <si>
    <t>IWG-S411425-OM</t>
  </si>
  <si>
    <t>IWG-S411525-OM</t>
  </si>
  <si>
    <t>IWG-S411625-OM</t>
  </si>
  <si>
    <t>IWG-S411725-OM</t>
  </si>
  <si>
    <t>IWG-S411825-OM</t>
  </si>
  <si>
    <t>IWG-S411925-OM</t>
  </si>
  <si>
    <t>IWG-S412025-OM</t>
  </si>
  <si>
    <t>IWG-S412125-OM</t>
  </si>
  <si>
    <t>IWG-S412225-OM</t>
  </si>
  <si>
    <t>IWG-S412325-OM</t>
  </si>
  <si>
    <t>IWG-B412425-OM</t>
  </si>
  <si>
    <t>IWG-B412525-OM</t>
  </si>
  <si>
    <t>IWG-S412625-OM</t>
  </si>
  <si>
    <t>IWG-S412725-OM</t>
  </si>
  <si>
    <t>IWG-B412825-OM</t>
  </si>
  <si>
    <t>IWG-S412925-OM</t>
  </si>
  <si>
    <t>IWG-S413725-OM</t>
  </si>
  <si>
    <t>IWG-S413225-OM</t>
  </si>
  <si>
    <t>IWG-S413325-OM</t>
  </si>
  <si>
    <t>IWG-S413425-OM</t>
  </si>
  <si>
    <t>IWG-S413525-OM</t>
  </si>
  <si>
    <t>IWG-S413625-OM</t>
  </si>
  <si>
    <t>IWG-D510125-OM</t>
  </si>
  <si>
    <t>IWG-D510225-OM</t>
  </si>
  <si>
    <t>IWG-D510325-OM</t>
  </si>
  <si>
    <t>IWG-D510425-OM</t>
  </si>
  <si>
    <t>IWG-D510525-OM</t>
  </si>
  <si>
    <t>IWG-D510625-OM</t>
  </si>
  <si>
    <t>IWG-D510725-OM</t>
  </si>
  <si>
    <t>IWG-D510825-OM</t>
  </si>
  <si>
    <t>IWG-D511025-OM</t>
  </si>
  <si>
    <t>IWG-D511125-OM</t>
  </si>
  <si>
    <t>IWG-D511225-OM</t>
  </si>
  <si>
    <t>IWG-D510925-OM</t>
  </si>
  <si>
    <t>IWG-B610125-OM</t>
  </si>
  <si>
    <t>IWG-B610225-OM</t>
  </si>
  <si>
    <t>IWG-B610325-OM</t>
  </si>
  <si>
    <t>IWG-S610425-OM</t>
  </si>
  <si>
    <t>IWG-B610525-OM</t>
  </si>
  <si>
    <t>IWG-B610625-OM</t>
  </si>
  <si>
    <t>IWG-B600725-OM</t>
  </si>
  <si>
    <t>IWG-B610825-OM</t>
  </si>
  <si>
    <t>IWG-B610925-OM</t>
  </si>
  <si>
    <t>IWG-S611025-OM</t>
  </si>
  <si>
    <t>IWG-S611225-OM</t>
  </si>
  <si>
    <t>IWG-B611125-OM</t>
  </si>
  <si>
    <t>IWG-B710125-X</t>
  </si>
  <si>
    <t>Ohio Approval Numbers
2024</t>
  </si>
  <si>
    <t>Ohio Contact Hours (2025)</t>
  </si>
  <si>
    <t>Maryland Approval Date</t>
  </si>
  <si>
    <t>Speaker's Email Address</t>
  </si>
  <si>
    <t>Speaker_Email</t>
  </si>
  <si>
    <t>Speaker_Address</t>
  </si>
  <si>
    <t>Speaker_Phone</t>
  </si>
  <si>
    <t>sidney@indigowatergroup.com</t>
  </si>
  <si>
    <t>spassaro@passaroengineering.com</t>
  </si>
  <si>
    <t>jeremy@mechatronicmedia.com</t>
  </si>
  <si>
    <t>dcolerick@brushcolo.com</t>
  </si>
  <si>
    <t>raphaelworkman@gmail.com</t>
  </si>
  <si>
    <t>flowersda15@gmail.com</t>
  </si>
  <si>
    <t>steve@leachmicros.com</t>
  </si>
  <si>
    <t>wwtechtrainers@gmail.com</t>
  </si>
  <si>
    <t>kschnaars@brwncald.com</t>
  </si>
  <si>
    <t>info@indigowatergroup.com</t>
  </si>
  <si>
    <t>Dewberry Engineering (retired)</t>
  </si>
  <si>
    <t>Natural Water Solutions (retired)</t>
  </si>
  <si>
    <t>gary.l.parham@lmco.com</t>
  </si>
  <si>
    <t>coachbaile@outlook.com</t>
  </si>
  <si>
    <t>joxenford@comcast.net</t>
  </si>
  <si>
    <t>Collection and distribution system operators use demolition saws to cut asphalt, cut pipe, bevel pipe, and many other tasks. Hand tools is one category in the need-to-know criteria for WPI (formerly ABC) certification exams.</t>
  </si>
  <si>
    <t>This presentation covers the method of operation for lagoons and wetlands. Basic design principals are discussed for lagoons and wetlands as well as biological processes taking place in aerobic, facultative, and anaerobic ponds. Typical operating ranges for each system type including hydraulic and organic loading rates are presented.  Troubleshooting is discussed and relationships between operating variables.</t>
  </si>
  <si>
    <t>Operators must understand the fundamentals of fravity thickeners and dissolved air floatation thickeners to effectively operate and troubleshoot them.  Both are used extensively for solids handling in wastewater plants.</t>
  </si>
  <si>
    <t>Standard operating procedures are critical to ensuring consistent operation of equipment and for process control.  Supervisors and operators are both responsible for writing and maintaining SOPs.</t>
  </si>
  <si>
    <t>Partial</t>
  </si>
  <si>
    <t>Alaska CEUs Awarded</t>
  </si>
  <si>
    <t>Alaska CEU Type</t>
  </si>
  <si>
    <t>AK_CEUs</t>
  </si>
  <si>
    <t>AK_CEU_TYPE</t>
  </si>
  <si>
    <t>Drinking Water Core</t>
  </si>
  <si>
    <t>R25201</t>
  </si>
  <si>
    <t>R25202</t>
  </si>
  <si>
    <t>R25203</t>
  </si>
  <si>
    <t>R25204</t>
  </si>
  <si>
    <t>R25205</t>
  </si>
  <si>
    <t>R25206</t>
  </si>
  <si>
    <t>R25207</t>
  </si>
  <si>
    <t>R25208</t>
  </si>
  <si>
    <t>R25209</t>
  </si>
  <si>
    <t>R25210</t>
  </si>
  <si>
    <t>R25211</t>
  </si>
  <si>
    <t>R25212</t>
  </si>
  <si>
    <t>R25213</t>
  </si>
  <si>
    <t>R25214</t>
  </si>
  <si>
    <t>R25215</t>
  </si>
  <si>
    <t>R25216</t>
  </si>
  <si>
    <t>R25217</t>
  </si>
  <si>
    <t>R25218</t>
  </si>
  <si>
    <t>R25219</t>
  </si>
  <si>
    <t>R25220</t>
  </si>
  <si>
    <t>R25221</t>
  </si>
  <si>
    <t>R25222</t>
  </si>
  <si>
    <t>R25223</t>
  </si>
  <si>
    <t>R25224</t>
  </si>
  <si>
    <t>R25225</t>
  </si>
  <si>
    <t>Accepted.  Use Form 4400-190</t>
  </si>
  <si>
    <t>Accepted. Use Form 4400-190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</si>
</sst>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164" formatCode="0.000"/>
    <numFmt numFmtId="165" formatCode="0.0"/>
    <numFmt numFmtId="166" formatCode="&quot;$&quot;#,##0"/>
    <numFmt numFmtId="167" formatCode="0.0000"/>
    <numFmt numFmtId="168" formatCode="[$-409]h:mm\ AM/PM;@"/>
  </numFmts>
  <fonts count="21" x14ac:knownFonts="1">
    <font>
      <sz val="11"/>
      <color theme="1"/>
      <name val="Calibri"/>
      <family val="2"/>
      <scheme val="minor"/>
    </font>
    <font>
      <sz val="8"/>
      <name val="Calibri"/>
      <family val="2"/>
    </font>
    <font>
      <u/>
      <sz val="11"/>
      <color theme="10"/>
      <name val="Calibri"/>
      <family val="2"/>
      <scheme val="minor"/>
    </font>
    <font>
      <b/>
      <sz val="11"/>
      <color theme="1"/>
      <name val="Calibri"/>
      <family val="2"/>
      <scheme val="minor"/>
    </font>
    <font>
      <b/>
      <sz val="14"/>
      <color theme="1"/>
      <name val="Calibri"/>
      <family val="2"/>
      <scheme val="minor"/>
    </font>
    <font>
      <b/>
      <sz val="12"/>
      <color theme="1"/>
      <name val="Arial"/>
      <family val="2"/>
    </font>
    <font>
      <b/>
      <sz val="16"/>
      <color theme="1"/>
      <name val="Arial"/>
      <family val="2"/>
    </font>
    <font>
      <sz val="14"/>
      <color theme="1"/>
      <name val="Calibri"/>
      <family val="2"/>
      <scheme val="minor"/>
    </font>
    <font>
      <sz val="10"/>
      <color theme="1"/>
      <name val="Arial"/>
      <family val="2"/>
    </font>
    <font>
      <b/>
      <sz val="10"/>
      <color theme="1"/>
      <name val="Arial"/>
      <family val="2"/>
    </font>
    <font>
      <sz val="10"/>
      <color rgb="FF222222"/>
      <name val="Arial"/>
      <family val="2"/>
    </font>
    <font>
      <sz val="12"/>
      <color theme="1"/>
      <name val="Arial"/>
      <family val="2"/>
    </font>
    <font>
      <sz val="10"/>
      <name val="Arial"/>
      <family val="2"/>
    </font>
    <font>
      <b/>
      <sz val="10"/>
      <color rgb="FFFF0000"/>
      <name val="Arial"/>
      <family val="2"/>
    </font>
    <font>
      <b/>
      <sz val="10"/>
      <color theme="0"/>
      <name val="Arial"/>
      <family val="2"/>
    </font>
    <font>
      <b/>
      <sz val="10"/>
      <color rgb="FF0070C0"/>
      <name val="Arial"/>
      <family val="2"/>
    </font>
    <font>
      <sz val="8"/>
      <name val="Calibri"/>
      <family val="2"/>
      <scheme val="minor"/>
    </font>
    <font>
      <sz val="9"/>
      <color indexed="81"/>
      <name val="Tahoma"/>
      <family val="2"/>
    </font>
    <font>
      <b/>
      <sz val="9"/>
      <color indexed="81"/>
      <name val="Tahoma"/>
      <family val="2"/>
    </font>
    <font>
      <sz val="11"/>
      <color theme="1"/>
      <name val="Arial"/>
      <family val="2"/>
    </font>
    <font>
      <sz val="1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rgb="FFFFC000"/>
        <bgColor indexed="64"/>
      </patternFill>
    </fill>
    <fill>
      <patternFill patternType="solid">
        <fgColor theme="8"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auto="1"/>
      </top>
      <bottom style="thick">
        <color auto="1"/>
      </bottom>
      <diagonal/>
    </border>
    <border>
      <left/>
      <right/>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ck">
        <color indexed="64"/>
      </top>
      <bottom style="thick">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top/>
      <bottom style="thick">
        <color indexed="64"/>
      </bottom>
      <diagonal/>
    </border>
  </borders>
  <cellStyleXfs count="2">
    <xf numFmtId="0" fontId="0" fillId="0" borderId="0"/>
    <xf numFmtId="0" fontId="2" fillId="0" borderId="0" applyNumberFormat="0" applyFill="0" applyBorder="0" applyAlignment="0" applyProtection="0"/>
  </cellStyleXfs>
  <cellXfs count="316">
    <xf numFmtId="0" fontId="0" fillId="0" borderId="0" xfId="0"/>
    <xf numFmtId="0" fontId="0" fillId="0" borderId="0" xfId="0" applyAlignment="1">
      <alignment horizontal="center"/>
    </xf>
    <xf numFmtId="0" fontId="3" fillId="0" borderId="0" xfId="0" applyFont="1" applyAlignment="1">
      <alignment horizontal="center"/>
    </xf>
    <xf numFmtId="2" fontId="0" fillId="0" borderId="0" xfId="0" applyNumberFormat="1" applyAlignment="1">
      <alignment horizontal="center"/>
    </xf>
    <xf numFmtId="0" fontId="5" fillId="0" borderId="0" xfId="0" applyFont="1"/>
    <xf numFmtId="2" fontId="0" fillId="0" borderId="0" xfId="0" applyNumberFormat="1"/>
    <xf numFmtId="0" fontId="3" fillId="0" borderId="0" xfId="0" applyFont="1"/>
    <xf numFmtId="166" fontId="3" fillId="0" borderId="0" xfId="0" applyNumberFormat="1" applyFont="1" applyAlignment="1">
      <alignment horizontal="center"/>
    </xf>
    <xf numFmtId="0" fontId="6" fillId="0" borderId="0" xfId="0" applyFont="1"/>
    <xf numFmtId="0" fontId="4" fillId="0" borderId="0" xfId="0" applyFont="1"/>
    <xf numFmtId="0" fontId="7" fillId="0" borderId="0" xfId="0" applyFont="1" applyProtection="1">
      <protection locked="0"/>
    </xf>
    <xf numFmtId="0" fontId="8" fillId="0" borderId="0" xfId="0" applyFont="1"/>
    <xf numFmtId="0" fontId="8" fillId="0" borderId="0" xfId="0" applyFont="1" applyAlignment="1">
      <alignment horizontal="center"/>
    </xf>
    <xf numFmtId="0" fontId="0" fillId="0" borderId="7" xfId="0" applyBorder="1" applyAlignment="1">
      <alignment horizontal="center"/>
    </xf>
    <xf numFmtId="0" fontId="11" fillId="0" borderId="0" xfId="0" applyFont="1"/>
    <xf numFmtId="0" fontId="5" fillId="0" borderId="0" xfId="0" applyFont="1" applyAlignment="1">
      <alignment horizontal="center"/>
    </xf>
    <xf numFmtId="0" fontId="11" fillId="0" borderId="0" xfId="0" applyFont="1" applyAlignment="1">
      <alignment horizontal="center"/>
    </xf>
    <xf numFmtId="2" fontId="11" fillId="0" borderId="0" xfId="0" applyNumberFormat="1" applyFont="1"/>
    <xf numFmtId="2" fontId="11" fillId="0" borderId="0" xfId="0" applyNumberFormat="1" applyFont="1" applyAlignment="1">
      <alignment horizontal="center"/>
    </xf>
    <xf numFmtId="0" fontId="11" fillId="0" borderId="0" xfId="0" applyFont="1" applyAlignment="1">
      <alignment horizontal="right"/>
    </xf>
    <xf numFmtId="166" fontId="5" fillId="0" borderId="0" xfId="0" applyNumberFormat="1" applyFont="1" applyAlignment="1">
      <alignment horizontal="center"/>
    </xf>
    <xf numFmtId="6" fontId="11" fillId="0" borderId="0" xfId="0" applyNumberFormat="1" applyFont="1"/>
    <xf numFmtId="2" fontId="5" fillId="0" borderId="0" xfId="0" applyNumberFormat="1" applyFont="1" applyAlignment="1">
      <alignment horizontal="center"/>
    </xf>
    <xf numFmtId="1" fontId="5" fillId="0" borderId="0" xfId="0" applyNumberFormat="1" applyFont="1" applyAlignment="1">
      <alignment horizontal="center"/>
    </xf>
    <xf numFmtId="0" fontId="11" fillId="0" borderId="0" xfId="0" applyFont="1" applyAlignment="1">
      <alignment horizontal="left"/>
    </xf>
    <xf numFmtId="0" fontId="0" fillId="3" borderId="0" xfId="0" applyFill="1"/>
    <xf numFmtId="0" fontId="0" fillId="4" borderId="0" xfId="0" applyFill="1"/>
    <xf numFmtId="0" fontId="4"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20" fontId="0" fillId="0" borderId="0" xfId="0" applyNumberFormat="1" applyAlignment="1">
      <alignment horizontal="center" vertical="center"/>
    </xf>
    <xf numFmtId="0" fontId="3" fillId="0" borderId="10" xfId="0" applyFont="1" applyBorder="1"/>
    <xf numFmtId="0" fontId="3" fillId="0" borderId="10" xfId="0" applyFont="1" applyBorder="1" applyAlignment="1">
      <alignment horizontal="center" vertical="center"/>
    </xf>
    <xf numFmtId="0" fontId="0" fillId="2" borderId="0" xfId="0" applyFill="1"/>
    <xf numFmtId="20" fontId="0" fillId="2" borderId="0" xfId="0" applyNumberFormat="1" applyFill="1" applyAlignment="1">
      <alignment horizontal="center" vertical="center"/>
    </xf>
    <xf numFmtId="0" fontId="0" fillId="2" borderId="0" xfId="0" applyFill="1" applyAlignment="1">
      <alignment horizontal="center" vertical="center"/>
    </xf>
    <xf numFmtId="0" fontId="0" fillId="0" borderId="11" xfId="0" applyBorder="1"/>
    <xf numFmtId="20" fontId="0" fillId="0" borderId="11" xfId="0" applyNumberFormat="1" applyBorder="1" applyAlignment="1">
      <alignment horizontal="center" vertical="center"/>
    </xf>
    <xf numFmtId="0" fontId="0" fillId="0" borderId="11" xfId="0" applyBorder="1" applyAlignment="1">
      <alignment horizontal="center" vertical="center"/>
    </xf>
    <xf numFmtId="2" fontId="0" fillId="0" borderId="0" xfId="0" applyNumberFormat="1" applyAlignment="1">
      <alignment horizontal="center" vertical="center"/>
    </xf>
    <xf numFmtId="0" fontId="0" fillId="0" borderId="2" xfId="0" applyBorder="1"/>
    <xf numFmtId="20" fontId="0" fillId="0" borderId="2" xfId="0" applyNumberFormat="1" applyBorder="1" applyAlignment="1">
      <alignment horizontal="center" vertical="center"/>
    </xf>
    <xf numFmtId="2" fontId="0" fillId="0" borderId="2" xfId="0" applyNumberFormat="1" applyBorder="1" applyAlignment="1">
      <alignment horizontal="center" vertical="center"/>
    </xf>
    <xf numFmtId="0" fontId="3" fillId="0" borderId="0" xfId="0" quotePrefix="1" applyFont="1" applyAlignment="1">
      <alignment horizontal="center" vertical="center"/>
    </xf>
    <xf numFmtId="0" fontId="4" fillId="0" borderId="0" xfId="0" applyFont="1" applyAlignment="1">
      <alignment horizontal="center"/>
    </xf>
    <xf numFmtId="168" fontId="4" fillId="0" borderId="0" xfId="0" applyNumberFormat="1" applyFont="1" applyAlignment="1">
      <alignment horizontal="center" vertical="center"/>
    </xf>
    <xf numFmtId="168" fontId="0" fillId="0" borderId="0" xfId="0" applyNumberFormat="1" applyAlignment="1">
      <alignment horizontal="center" vertical="center"/>
    </xf>
    <xf numFmtId="168" fontId="3" fillId="0" borderId="10" xfId="0" applyNumberFormat="1" applyFont="1" applyBorder="1" applyAlignment="1">
      <alignment horizontal="center" vertical="center"/>
    </xf>
    <xf numFmtId="168" fontId="0" fillId="2" borderId="0" xfId="0" applyNumberFormat="1" applyFill="1" applyAlignment="1">
      <alignment horizontal="center" vertical="center"/>
    </xf>
    <xf numFmtId="168" fontId="0" fillId="0" borderId="11" xfId="0" applyNumberFormat="1" applyBorder="1" applyAlignment="1">
      <alignment horizontal="center" vertical="center"/>
    </xf>
    <xf numFmtId="168" fontId="3" fillId="0" borderId="0" xfId="0" applyNumberFormat="1" applyFont="1" applyAlignment="1">
      <alignment horizontal="center" vertical="center"/>
    </xf>
    <xf numFmtId="168" fontId="0" fillId="0" borderId="2" xfId="0" applyNumberFormat="1" applyBorder="1" applyAlignment="1">
      <alignment horizontal="center" vertical="center"/>
    </xf>
    <xf numFmtId="0" fontId="8" fillId="0" borderId="0" xfId="1" applyFont="1" applyFill="1" applyBorder="1" applyAlignment="1">
      <alignment horizontal="left" wrapText="1"/>
    </xf>
    <xf numFmtId="0" fontId="8" fillId="0" borderId="0" xfId="1" applyFont="1" applyFill="1" applyBorder="1" applyAlignment="1">
      <alignment horizontal="left"/>
    </xf>
    <xf numFmtId="0" fontId="8" fillId="0" borderId="0" xfId="1" applyFont="1" applyFill="1" applyBorder="1" applyAlignment="1">
      <alignment horizontal="center"/>
    </xf>
    <xf numFmtId="0" fontId="0" fillId="0" borderId="7" xfId="0" applyBorder="1"/>
    <xf numFmtId="168" fontId="0" fillId="0" borderId="7" xfId="0" applyNumberFormat="1" applyBorder="1" applyAlignment="1">
      <alignment horizontal="center" vertical="center"/>
    </xf>
    <xf numFmtId="20" fontId="0" fillId="0" borderId="7" xfId="0" applyNumberFormat="1" applyBorder="1" applyAlignment="1">
      <alignment horizontal="center" vertical="center"/>
    </xf>
    <xf numFmtId="0" fontId="0" fillId="0" borderId="7" xfId="0" applyBorder="1" applyAlignment="1">
      <alignment horizontal="center" vertical="center"/>
    </xf>
    <xf numFmtId="0" fontId="0" fillId="2" borderId="0" xfId="0" applyFill="1" applyAlignment="1">
      <alignment horizontal="center"/>
    </xf>
    <xf numFmtId="0" fontId="0" fillId="0" borderId="0" xfId="0" applyProtection="1">
      <protection locked="0"/>
    </xf>
    <xf numFmtId="166" fontId="0" fillId="0" borderId="0" xfId="0" applyNumberFormat="1" applyAlignment="1">
      <alignment horizontal="center"/>
    </xf>
    <xf numFmtId="0" fontId="19" fillId="0" borderId="8" xfId="0" applyFont="1" applyBorder="1"/>
    <xf numFmtId="0" fontId="19" fillId="0" borderId="1" xfId="0" applyFont="1" applyBorder="1" applyAlignment="1">
      <alignment horizontal="left" wrapText="1"/>
    </xf>
    <xf numFmtId="0" fontId="20" fillId="0" borderId="8" xfId="0" applyFont="1" applyBorder="1"/>
    <xf numFmtId="0" fontId="20" fillId="0" borderId="1" xfId="0" applyFont="1" applyBorder="1" applyAlignment="1">
      <alignment horizontal="left" wrapText="1"/>
    </xf>
    <xf numFmtId="2" fontId="19" fillId="0" borderId="1" xfId="0" applyNumberFormat="1" applyFont="1" applyBorder="1" applyAlignment="1">
      <alignment horizontal="left" wrapText="1"/>
    </xf>
    <xf numFmtId="0" fontId="19" fillId="0" borderId="1" xfId="0" applyFont="1" applyBorder="1"/>
    <xf numFmtId="2" fontId="19" fillId="0" borderId="1" xfId="0" applyNumberFormat="1" applyFont="1" applyBorder="1" applyAlignment="1">
      <alignment horizontal="center"/>
    </xf>
    <xf numFmtId="2" fontId="19" fillId="0" borderId="13" xfId="0" applyNumberFormat="1" applyFont="1" applyBorder="1" applyAlignment="1">
      <alignment horizontal="center"/>
    </xf>
    <xf numFmtId="0" fontId="19" fillId="0" borderId="5" xfId="0" applyFont="1" applyBorder="1"/>
    <xf numFmtId="0" fontId="19" fillId="0" borderId="3" xfId="0" applyFont="1" applyBorder="1" applyAlignment="1">
      <alignment horizontal="left" wrapText="1"/>
    </xf>
    <xf numFmtId="0" fontId="19" fillId="0" borderId="9" xfId="0" applyFont="1" applyBorder="1"/>
    <xf numFmtId="0" fontId="19" fillId="0" borderId="6" xfId="0" applyFont="1" applyBorder="1"/>
    <xf numFmtId="0" fontId="19" fillId="0" borderId="6" xfId="0" applyFont="1" applyBorder="1" applyAlignment="1">
      <alignment horizontal="center"/>
    </xf>
    <xf numFmtId="0" fontId="19" fillId="0" borderId="12" xfId="0" applyFont="1" applyBorder="1" applyAlignment="1">
      <alignment horizontal="center"/>
    </xf>
    <xf numFmtId="2" fontId="19" fillId="0" borderId="3" xfId="0" applyNumberFormat="1" applyFont="1" applyBorder="1" applyAlignment="1">
      <alignment horizontal="center"/>
    </xf>
    <xf numFmtId="2" fontId="19" fillId="0" borderId="4" xfId="0" applyNumberFormat="1" applyFont="1" applyBorder="1" applyAlignment="1">
      <alignment horizontal="center"/>
    </xf>
    <xf numFmtId="164" fontId="19" fillId="0" borderId="1" xfId="0" applyNumberFormat="1" applyFont="1" applyBorder="1" applyAlignment="1">
      <alignment horizontal="left" wrapText="1"/>
    </xf>
    <xf numFmtId="0" fontId="0" fillId="0" borderId="2" xfId="0" applyBorder="1" applyAlignment="1">
      <alignment horizontal="center"/>
    </xf>
    <xf numFmtId="166" fontId="0" fillId="3" borderId="0" xfId="0" applyNumberFormat="1" applyFill="1" applyAlignment="1">
      <alignment horizontal="center"/>
    </xf>
    <xf numFmtId="0" fontId="2" fillId="0" borderId="0" xfId="1" applyFill="1" applyBorder="1"/>
    <xf numFmtId="0" fontId="2" fillId="0" borderId="0" xfId="1" applyFill="1" applyBorder="1" applyAlignment="1">
      <alignment horizontal="center"/>
    </xf>
    <xf numFmtId="0" fontId="9" fillId="0" borderId="0" xfId="0" applyFont="1" applyAlignment="1">
      <alignment wrapText="1"/>
    </xf>
    <xf numFmtId="0" fontId="8" fillId="0" borderId="0" xfId="0" applyFont="1" applyAlignment="1" applyProtection="1">
      <alignment horizontal="center"/>
      <protection locked="0"/>
    </xf>
    <xf numFmtId="2" fontId="8" fillId="0" borderId="0" xfId="0" applyNumberFormat="1" applyFont="1" applyAlignment="1">
      <alignment horizontal="center"/>
    </xf>
    <xf numFmtId="165" fontId="8" fillId="0" borderId="0" xfId="0" applyNumberFormat="1" applyFont="1" applyAlignment="1">
      <alignment horizontal="center"/>
    </xf>
    <xf numFmtId="0" fontId="8" fillId="0" borderId="0" xfId="0" applyFont="1" applyAlignment="1">
      <alignment horizontal="center" wrapText="1"/>
    </xf>
    <xf numFmtId="165" fontId="8" fillId="0" borderId="0" xfId="0" applyNumberFormat="1" applyFont="1" applyAlignment="1">
      <alignment horizontal="center" wrapText="1"/>
    </xf>
    <xf numFmtId="167" fontId="8" fillId="0" borderId="0" xfId="0" applyNumberFormat="1" applyFont="1" applyAlignment="1">
      <alignment horizontal="center" wrapText="1"/>
    </xf>
    <xf numFmtId="0" fontId="8" fillId="0" borderId="0" xfId="0" applyFont="1" applyAlignment="1">
      <alignment horizontal="left"/>
    </xf>
    <xf numFmtId="1" fontId="8" fillId="0" borderId="0" xfId="0" applyNumberFormat="1" applyFont="1" applyAlignment="1">
      <alignment horizontal="center"/>
    </xf>
    <xf numFmtId="0" fontId="8" fillId="0" borderId="0" xfId="0" applyFont="1" applyAlignment="1">
      <alignment horizontal="left" wrapText="1"/>
    </xf>
    <xf numFmtId="165" fontId="8" fillId="0" borderId="0" xfId="0" applyNumberFormat="1" applyFont="1" applyAlignment="1">
      <alignment horizontal="center" shrinkToFit="1"/>
    </xf>
    <xf numFmtId="0" fontId="13" fillId="0" borderId="0" xfId="0" applyFont="1" applyAlignment="1">
      <alignment horizontal="center"/>
    </xf>
    <xf numFmtId="0" fontId="13" fillId="0" borderId="0" xfId="0" applyFont="1"/>
    <xf numFmtId="1" fontId="8" fillId="0" borderId="0" xfId="0" applyNumberFormat="1" applyFont="1"/>
    <xf numFmtId="2" fontId="9" fillId="0" borderId="0" xfId="0" applyNumberFormat="1" applyFont="1" applyAlignment="1">
      <alignment horizontal="center"/>
    </xf>
    <xf numFmtId="167" fontId="9" fillId="0" borderId="0" xfId="0" applyNumberFormat="1" applyFont="1" applyAlignment="1">
      <alignment horizontal="center"/>
    </xf>
    <xf numFmtId="0" fontId="15" fillId="0" borderId="0" xfId="0" applyFont="1" applyAlignment="1">
      <alignment horizontal="left" vertical="center"/>
    </xf>
    <xf numFmtId="0" fontId="15" fillId="0" borderId="0" xfId="0" applyFont="1" applyAlignment="1">
      <alignment horizontal="center" vertical="center"/>
    </xf>
    <xf numFmtId="0" fontId="15" fillId="0" borderId="0" xfId="0" applyFont="1"/>
    <xf numFmtId="0" fontId="15" fillId="0" borderId="0" xfId="0" applyFont="1" applyAlignment="1">
      <alignment horizontal="center"/>
    </xf>
    <xf numFmtId="0" fontId="9" fillId="0" borderId="1" xfId="0" applyFont="1" applyBorder="1" applyAlignment="1">
      <alignment horizontal="center" wrapText="1"/>
    </xf>
    <xf numFmtId="0" fontId="9" fillId="0" borderId="1" xfId="0" applyFont="1" applyBorder="1" applyAlignment="1">
      <alignment wrapText="1"/>
    </xf>
    <xf numFmtId="0" fontId="9" fillId="0" borderId="1" xfId="0" applyFont="1" applyBorder="1" applyAlignment="1">
      <alignment horizontal="left" wrapText="1"/>
    </xf>
    <xf numFmtId="1" fontId="9" fillId="0" borderId="1" xfId="0" applyNumberFormat="1" applyFont="1" applyBorder="1" applyAlignment="1">
      <alignment horizontal="center" wrapText="1"/>
    </xf>
    <xf numFmtId="165" fontId="9" fillId="0" borderId="1" xfId="0" applyNumberFormat="1" applyFont="1" applyBorder="1" applyAlignment="1">
      <alignment horizontal="center" wrapText="1"/>
    </xf>
    <xf numFmtId="2" fontId="9" fillId="0" borderId="1" xfId="0" applyNumberFormat="1" applyFont="1" applyBorder="1" applyAlignment="1">
      <alignment horizontal="center" wrapText="1"/>
    </xf>
    <xf numFmtId="167" fontId="9" fillId="0" borderId="1" xfId="0" applyNumberFormat="1" applyFont="1" applyBorder="1" applyAlignment="1">
      <alignment horizontal="center" wrapText="1"/>
    </xf>
    <xf numFmtId="0" fontId="9" fillId="0" borderId="1" xfId="0" applyFont="1" applyBorder="1"/>
    <xf numFmtId="0" fontId="8" fillId="0" borderId="1" xfId="0" applyFont="1" applyBorder="1" applyAlignment="1" applyProtection="1">
      <alignment horizontal="center"/>
      <protection locked="0"/>
    </xf>
    <xf numFmtId="0" fontId="8" fillId="0" borderId="1" xfId="0" applyFont="1" applyBorder="1"/>
    <xf numFmtId="0" fontId="8" fillId="0" borderId="1" xfId="0" applyFont="1" applyBorder="1" applyAlignment="1">
      <alignment horizontal="center"/>
    </xf>
    <xf numFmtId="2" fontId="8" fillId="0" borderId="1" xfId="0" applyNumberFormat="1" applyFont="1" applyBorder="1" applyAlignment="1">
      <alignment horizontal="center"/>
    </xf>
    <xf numFmtId="2" fontId="8" fillId="0" borderId="1" xfId="0" applyNumberFormat="1" applyFont="1" applyBorder="1" applyAlignment="1">
      <alignment horizontal="left"/>
    </xf>
    <xf numFmtId="165" fontId="8" fillId="0" borderId="1" xfId="0" applyNumberFormat="1" applyFont="1" applyBorder="1" applyAlignment="1">
      <alignment horizontal="center"/>
    </xf>
    <xf numFmtId="0" fontId="8" fillId="0" borderId="1" xfId="0" applyFont="1" applyBorder="1" applyAlignment="1">
      <alignment horizontal="center" wrapText="1"/>
    </xf>
    <xf numFmtId="165" fontId="8" fillId="0" borderId="1" xfId="0" applyNumberFormat="1" applyFont="1" applyBorder="1" applyAlignment="1">
      <alignment horizontal="center" wrapText="1"/>
    </xf>
    <xf numFmtId="167" fontId="8" fillId="0" borderId="1" xfId="0" applyNumberFormat="1" applyFont="1" applyBorder="1" applyAlignment="1">
      <alignment horizontal="center" wrapText="1"/>
    </xf>
    <xf numFmtId="164" fontId="8" fillId="0" borderId="1" xfId="0" applyNumberFormat="1" applyFont="1" applyBorder="1" applyAlignment="1">
      <alignment horizontal="left" wrapText="1"/>
    </xf>
    <xf numFmtId="164" fontId="8" fillId="0" borderId="1" xfId="0" applyNumberFormat="1" applyFont="1" applyBorder="1" applyAlignment="1">
      <alignment horizontal="left"/>
    </xf>
    <xf numFmtId="164" fontId="8" fillId="0" borderId="1" xfId="0" applyNumberFormat="1" applyFont="1" applyBorder="1" applyAlignment="1">
      <alignment horizontal="center"/>
    </xf>
    <xf numFmtId="0" fontId="0" fillId="0" borderId="1" xfId="0" applyBorder="1"/>
    <xf numFmtId="0" fontId="8" fillId="0" borderId="1" xfId="0" applyFont="1" applyBorder="1" applyAlignment="1">
      <alignment horizontal="left"/>
    </xf>
    <xf numFmtId="1" fontId="8" fillId="0" borderId="1" xfId="0" applyNumberFormat="1" applyFont="1" applyBorder="1" applyAlignment="1">
      <alignment horizontal="center"/>
    </xf>
    <xf numFmtId="0" fontId="8" fillId="0" borderId="1" xfId="0" quotePrefix="1" applyFont="1" applyBorder="1" applyAlignment="1">
      <alignment horizontal="center"/>
    </xf>
    <xf numFmtId="14" fontId="8" fillId="0" borderId="1" xfId="0" quotePrefix="1" applyNumberFormat="1" applyFont="1" applyBorder="1" applyAlignment="1">
      <alignment horizontal="center"/>
    </xf>
    <xf numFmtId="14" fontId="8" fillId="0" borderId="1" xfId="0" applyNumberFormat="1" applyFont="1" applyBorder="1" applyAlignment="1">
      <alignment horizontal="center"/>
    </xf>
    <xf numFmtId="0" fontId="8" fillId="0" borderId="1" xfId="0" applyFont="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horizontal="left" wrapText="1"/>
    </xf>
    <xf numFmtId="0" fontId="12" fillId="0" borderId="1" xfId="0" applyFont="1" applyBorder="1"/>
    <xf numFmtId="0" fontId="12" fillId="0" borderId="1" xfId="0" applyFont="1" applyBorder="1" applyAlignment="1">
      <alignment horizontal="center"/>
    </xf>
    <xf numFmtId="0" fontId="12" fillId="0" borderId="1" xfId="0" applyFont="1" applyBorder="1" applyAlignment="1">
      <alignment horizontal="left" wrapText="1"/>
    </xf>
    <xf numFmtId="0" fontId="12" fillId="0" borderId="1" xfId="0" applyFont="1" applyBorder="1" applyAlignment="1">
      <alignment horizontal="left"/>
    </xf>
    <xf numFmtId="165" fontId="12" fillId="0" borderId="1" xfId="0" applyNumberFormat="1" applyFont="1" applyBorder="1" applyAlignment="1">
      <alignment horizontal="center"/>
    </xf>
    <xf numFmtId="2" fontId="12" fillId="0" borderId="1" xfId="0" applyNumberFormat="1" applyFont="1" applyBorder="1" applyAlignment="1">
      <alignment horizontal="center"/>
    </xf>
    <xf numFmtId="14" fontId="12" fillId="0" borderId="1" xfId="0" applyNumberFormat="1" applyFont="1" applyBorder="1" applyAlignment="1">
      <alignment horizontal="center"/>
    </xf>
    <xf numFmtId="0" fontId="12" fillId="0" borderId="1" xfId="0" applyFont="1" applyBorder="1" applyAlignment="1">
      <alignment horizontal="center" wrapText="1"/>
    </xf>
    <xf numFmtId="165" fontId="12" fillId="0" borderId="1" xfId="0" applyNumberFormat="1" applyFont="1" applyBorder="1" applyAlignment="1">
      <alignment horizontal="center" wrapText="1"/>
    </xf>
    <xf numFmtId="167" fontId="12" fillId="0" borderId="1" xfId="0" applyNumberFormat="1" applyFont="1" applyBorder="1" applyAlignment="1">
      <alignment horizontal="center" wrapText="1"/>
    </xf>
    <xf numFmtId="2" fontId="8" fillId="0" borderId="1" xfId="0" applyNumberFormat="1" applyFont="1" applyBorder="1" applyAlignment="1">
      <alignment horizontal="left" wrapText="1"/>
    </xf>
    <xf numFmtId="0" fontId="10" fillId="0" borderId="1" xfId="0" applyFont="1" applyBorder="1"/>
    <xf numFmtId="165" fontId="8" fillId="0" borderId="1" xfId="0" applyNumberFormat="1" applyFont="1" applyBorder="1" applyAlignment="1">
      <alignment horizontal="center" vertical="center"/>
    </xf>
    <xf numFmtId="165" fontId="8" fillId="0" borderId="1" xfId="0" applyNumberFormat="1" applyFont="1" applyBorder="1" applyAlignment="1">
      <alignment horizontal="center" shrinkToFit="1"/>
    </xf>
    <xf numFmtId="0" fontId="9" fillId="0" borderId="15" xfId="0" applyFont="1" applyBorder="1" applyAlignment="1">
      <alignment horizontal="center" wrapText="1"/>
    </xf>
    <xf numFmtId="0" fontId="9" fillId="0" borderId="15" xfId="0" applyFont="1" applyBorder="1" applyAlignment="1">
      <alignment wrapText="1"/>
    </xf>
    <xf numFmtId="0" fontId="9" fillId="0" borderId="15" xfId="0" applyFont="1" applyBorder="1" applyAlignment="1">
      <alignment horizontal="left" wrapText="1"/>
    </xf>
    <xf numFmtId="1" fontId="9" fillId="0" borderId="15" xfId="0" applyNumberFormat="1" applyFont="1" applyBorder="1" applyAlignment="1">
      <alignment horizontal="center" wrapText="1"/>
    </xf>
    <xf numFmtId="165" fontId="9" fillId="0" borderId="15" xfId="0" applyNumberFormat="1" applyFont="1" applyBorder="1" applyAlignment="1">
      <alignment horizontal="center" wrapText="1"/>
    </xf>
    <xf numFmtId="2" fontId="9" fillId="0" borderId="15" xfId="0" applyNumberFormat="1" applyFont="1" applyBorder="1" applyAlignment="1">
      <alignment horizontal="center" wrapText="1"/>
    </xf>
    <xf numFmtId="167" fontId="9" fillId="0" borderId="15" xfId="0" applyNumberFormat="1" applyFont="1" applyBorder="1" applyAlignment="1">
      <alignment horizontal="center" wrapText="1"/>
    </xf>
    <xf numFmtId="0" fontId="9" fillId="0" borderId="15" xfId="0" applyFont="1" applyBorder="1"/>
    <xf numFmtId="0" fontId="9" fillId="0" borderId="11" xfId="0" applyFont="1" applyBorder="1" applyAlignment="1">
      <alignment wrapText="1"/>
    </xf>
    <xf numFmtId="0" fontId="9" fillId="0" borderId="14" xfId="0" applyFont="1" applyBorder="1" applyAlignment="1">
      <alignment horizontal="center" wrapText="1"/>
    </xf>
    <xf numFmtId="0" fontId="14" fillId="0" borderId="14" xfId="0" applyFont="1" applyBorder="1" applyAlignment="1">
      <alignment wrapText="1"/>
    </xf>
    <xf numFmtId="0" fontId="14" fillId="0" borderId="14" xfId="0" applyFont="1" applyBorder="1" applyAlignment="1">
      <alignment horizontal="center" wrapText="1"/>
    </xf>
    <xf numFmtId="0" fontId="14" fillId="0" borderId="14" xfId="0" applyFont="1" applyBorder="1" applyAlignment="1">
      <alignment horizontal="left" wrapText="1"/>
    </xf>
    <xf numFmtId="0" fontId="9" fillId="0" borderId="14" xfId="0" applyFont="1" applyBorder="1" applyAlignment="1">
      <alignment horizontal="left" wrapText="1"/>
    </xf>
    <xf numFmtId="1" fontId="9" fillId="0" borderId="14" xfId="0" applyNumberFormat="1" applyFont="1" applyBorder="1" applyAlignment="1">
      <alignment horizontal="left" wrapText="1"/>
    </xf>
    <xf numFmtId="165" fontId="9" fillId="0" borderId="14" xfId="0" applyNumberFormat="1" applyFont="1" applyBorder="1" applyAlignment="1">
      <alignment horizontal="center" wrapText="1"/>
    </xf>
    <xf numFmtId="2" fontId="9" fillId="0" borderId="14" xfId="0" applyNumberFormat="1" applyFont="1" applyBorder="1" applyAlignment="1">
      <alignment horizontal="center" wrapText="1"/>
    </xf>
    <xf numFmtId="1" fontId="9" fillId="0" borderId="14" xfId="0" applyNumberFormat="1" applyFont="1" applyBorder="1" applyAlignment="1">
      <alignment horizontal="center" wrapText="1"/>
    </xf>
    <xf numFmtId="167" fontId="9" fillId="0" borderId="14" xfId="0" applyNumberFormat="1" applyFont="1" applyBorder="1" applyAlignment="1">
      <alignment horizontal="center" wrapText="1"/>
    </xf>
    <xf numFmtId="0" fontId="9" fillId="0" borderId="14" xfId="0" applyFont="1" applyBorder="1"/>
    <xf numFmtId="0" fontId="9" fillId="0" borderId="14" xfId="0" applyFont="1" applyBorder="1" applyAlignment="1">
      <alignment wrapText="1"/>
    </xf>
    <xf numFmtId="0" fontId="8" fillId="0" borderId="6" xfId="0" applyFont="1" applyBorder="1" applyAlignment="1" applyProtection="1">
      <alignment horizontal="center"/>
      <protection locked="0"/>
    </xf>
    <xf numFmtId="0" fontId="8" fillId="0" borderId="6" xfId="0" applyFont="1" applyBorder="1"/>
    <xf numFmtId="0" fontId="8" fillId="0" borderId="6" xfId="0" applyFont="1" applyBorder="1" applyAlignment="1">
      <alignment horizontal="center"/>
    </xf>
    <xf numFmtId="0" fontId="8" fillId="0" borderId="6" xfId="0" applyFont="1" applyBorder="1" applyAlignment="1">
      <alignment horizontal="left"/>
    </xf>
    <xf numFmtId="1" fontId="8" fillId="0" borderId="6" xfId="0" applyNumberFormat="1" applyFont="1" applyBorder="1" applyAlignment="1">
      <alignment horizontal="center"/>
    </xf>
    <xf numFmtId="165" fontId="8" fillId="0" borderId="6" xfId="0" applyNumberFormat="1" applyFont="1" applyBorder="1" applyAlignment="1">
      <alignment horizontal="center"/>
    </xf>
    <xf numFmtId="2" fontId="8" fillId="0" borderId="6" xfId="0" applyNumberFormat="1" applyFont="1" applyBorder="1" applyAlignment="1">
      <alignment horizontal="center"/>
    </xf>
    <xf numFmtId="0" fontId="8" fillId="0" borderId="6" xfId="0" applyFont="1" applyBorder="1" applyAlignment="1">
      <alignment horizontal="center" wrapText="1"/>
    </xf>
    <xf numFmtId="165" fontId="8" fillId="0" borderId="6" xfId="0" applyNumberFormat="1" applyFont="1" applyBorder="1" applyAlignment="1">
      <alignment horizontal="center" wrapText="1"/>
    </xf>
    <xf numFmtId="167" fontId="8" fillId="0" borderId="6" xfId="0" applyNumberFormat="1" applyFont="1" applyBorder="1" applyAlignment="1">
      <alignment horizontal="center" wrapText="1"/>
    </xf>
    <xf numFmtId="0" fontId="8" fillId="0" borderId="16" xfId="0" applyFont="1" applyBorder="1" applyAlignment="1" applyProtection="1">
      <alignment horizontal="center"/>
      <protection locked="0"/>
    </xf>
    <xf numFmtId="0" fontId="8" fillId="0" borderId="16" xfId="0" applyFont="1" applyBorder="1"/>
    <xf numFmtId="0" fontId="8" fillId="0" borderId="16" xfId="0" applyFont="1" applyBorder="1" applyAlignment="1">
      <alignment horizontal="center"/>
    </xf>
    <xf numFmtId="0" fontId="9" fillId="0" borderId="16" xfId="0" applyFont="1" applyBorder="1" applyAlignment="1">
      <alignment horizontal="left" wrapText="1"/>
    </xf>
    <xf numFmtId="0" fontId="9" fillId="0" borderId="16" xfId="0" applyFont="1" applyBorder="1" applyAlignment="1">
      <alignment horizontal="left"/>
    </xf>
    <xf numFmtId="0" fontId="9" fillId="0" borderId="16" xfId="0" applyFont="1" applyBorder="1" applyAlignment="1">
      <alignment horizontal="center"/>
    </xf>
    <xf numFmtId="0" fontId="8" fillId="0" borderId="16" xfId="1" applyFont="1" applyFill="1" applyBorder="1" applyAlignment="1">
      <alignment horizontal="left"/>
    </xf>
    <xf numFmtId="1" fontId="8" fillId="0" borderId="16" xfId="1" applyNumberFormat="1" applyFont="1" applyFill="1" applyBorder="1" applyAlignment="1">
      <alignment horizontal="left"/>
    </xf>
    <xf numFmtId="165" fontId="8" fillId="0" borderId="16" xfId="1" applyNumberFormat="1" applyFont="1" applyFill="1" applyBorder="1" applyAlignment="1">
      <alignment horizontal="center"/>
    </xf>
    <xf numFmtId="2" fontId="8" fillId="0" borderId="16" xfId="1" applyNumberFormat="1" applyFont="1" applyFill="1" applyBorder="1" applyAlignment="1">
      <alignment horizontal="center" wrapText="1"/>
    </xf>
    <xf numFmtId="2" fontId="8" fillId="0" borderId="16" xfId="0" applyNumberFormat="1" applyFont="1" applyBorder="1" applyAlignment="1">
      <alignment horizontal="center"/>
    </xf>
    <xf numFmtId="2" fontId="8" fillId="0" borderId="16" xfId="0" applyNumberFormat="1" applyFont="1" applyBorder="1" applyAlignment="1">
      <alignment horizontal="left"/>
    </xf>
    <xf numFmtId="165" fontId="8" fillId="0" borderId="16" xfId="0" applyNumberFormat="1" applyFont="1" applyBorder="1" applyAlignment="1">
      <alignment horizontal="center"/>
    </xf>
    <xf numFmtId="0" fontId="8" fillId="0" borderId="16" xfId="0" applyFont="1" applyBorder="1" applyAlignment="1">
      <alignment horizontal="center" wrapText="1"/>
    </xf>
    <xf numFmtId="0" fontId="9" fillId="0" borderId="16" xfId="0" applyFont="1" applyBorder="1" applyAlignment="1">
      <alignment horizontal="center" wrapText="1"/>
    </xf>
    <xf numFmtId="165" fontId="9" fillId="0" borderId="16" xfId="0" applyNumberFormat="1" applyFont="1" applyBorder="1" applyAlignment="1">
      <alignment horizontal="center"/>
    </xf>
    <xf numFmtId="165" fontId="8" fillId="0" borderId="16" xfId="0" applyNumberFormat="1" applyFont="1" applyBorder="1" applyAlignment="1">
      <alignment horizontal="center" wrapText="1"/>
    </xf>
    <xf numFmtId="167" fontId="8" fillId="0" borderId="16" xfId="0" applyNumberFormat="1" applyFont="1" applyBorder="1" applyAlignment="1">
      <alignment horizontal="center" wrapText="1"/>
    </xf>
    <xf numFmtId="0" fontId="8" fillId="0" borderId="17" xfId="0" applyFont="1" applyBorder="1"/>
    <xf numFmtId="0" fontId="8" fillId="0" borderId="3" xfId="0" applyFont="1" applyBorder="1" applyAlignment="1" applyProtection="1">
      <alignment horizontal="center"/>
      <protection locked="0"/>
    </xf>
    <xf numFmtId="0" fontId="8" fillId="0" borderId="3" xfId="0" applyFont="1" applyBorder="1"/>
    <xf numFmtId="0" fontId="8" fillId="0" borderId="3" xfId="0" applyFont="1" applyBorder="1" applyAlignment="1">
      <alignment horizontal="center"/>
    </xf>
    <xf numFmtId="164" fontId="8" fillId="0" borderId="3" xfId="0" applyNumberFormat="1" applyFont="1" applyBorder="1" applyAlignment="1">
      <alignment horizontal="left" wrapText="1"/>
    </xf>
    <xf numFmtId="164" fontId="8" fillId="0" borderId="3" xfId="0" applyNumberFormat="1" applyFont="1" applyBorder="1" applyAlignment="1">
      <alignment horizontal="left"/>
    </xf>
    <xf numFmtId="164" fontId="8" fillId="0" borderId="3" xfId="0" applyNumberFormat="1" applyFont="1" applyBorder="1" applyAlignment="1">
      <alignment horizontal="center"/>
    </xf>
    <xf numFmtId="0" fontId="8" fillId="0" borderId="3" xfId="0" applyFont="1" applyBorder="1" applyAlignment="1">
      <alignment horizontal="left"/>
    </xf>
    <xf numFmtId="1" fontId="8" fillId="0" borderId="3" xfId="0" applyNumberFormat="1" applyFont="1" applyBorder="1" applyAlignment="1">
      <alignment horizontal="center"/>
    </xf>
    <xf numFmtId="165" fontId="8" fillId="0" borderId="3" xfId="0" applyNumberFormat="1" applyFont="1" applyBorder="1" applyAlignment="1">
      <alignment horizontal="center"/>
    </xf>
    <xf numFmtId="2" fontId="8" fillId="0" borderId="3" xfId="0" applyNumberFormat="1" applyFont="1" applyBorder="1" applyAlignment="1">
      <alignment horizontal="center"/>
    </xf>
    <xf numFmtId="0" fontId="8" fillId="0" borderId="3" xfId="0" quotePrefix="1" applyFont="1" applyBorder="1" applyAlignment="1">
      <alignment horizontal="center"/>
    </xf>
    <xf numFmtId="14" fontId="8" fillId="0" borderId="3" xfId="0" quotePrefix="1" applyNumberFormat="1" applyFont="1" applyBorder="1" applyAlignment="1">
      <alignment horizontal="center"/>
    </xf>
    <xf numFmtId="0" fontId="8" fillId="0" borderId="3" xfId="0" applyFont="1" applyBorder="1" applyAlignment="1">
      <alignment horizontal="center" wrapText="1"/>
    </xf>
    <xf numFmtId="0" fontId="8" fillId="0" borderId="3" xfId="0" applyFont="1" applyBorder="1" applyAlignment="1">
      <alignment horizontal="center" vertical="center"/>
    </xf>
    <xf numFmtId="165" fontId="8" fillId="0" borderId="3" xfId="0" applyNumberFormat="1" applyFont="1" applyBorder="1" applyAlignment="1">
      <alignment horizontal="center" wrapText="1"/>
    </xf>
    <xf numFmtId="167" fontId="8" fillId="0" borderId="3" xfId="0" applyNumberFormat="1" applyFont="1" applyBorder="1" applyAlignment="1">
      <alignment horizontal="center" wrapText="1"/>
    </xf>
    <xf numFmtId="0" fontId="8" fillId="0" borderId="6" xfId="0" applyFont="1" applyBorder="1" applyAlignment="1">
      <alignment horizontal="left" wrapText="1"/>
    </xf>
    <xf numFmtId="0" fontId="8" fillId="0" borderId="16" xfId="0" applyFont="1" applyBorder="1" applyAlignment="1">
      <alignment horizontal="left"/>
    </xf>
    <xf numFmtId="1" fontId="8" fillId="0" borderId="16" xfId="0" applyNumberFormat="1" applyFont="1" applyBorder="1" applyAlignment="1">
      <alignment horizontal="left"/>
    </xf>
    <xf numFmtId="0" fontId="8" fillId="0" borderId="3" xfId="0" applyFont="1" applyBorder="1" applyAlignment="1">
      <alignment horizontal="left" wrapText="1"/>
    </xf>
    <xf numFmtId="0" fontId="8" fillId="0" borderId="16" xfId="0" applyFont="1" applyBorder="1" applyAlignment="1">
      <alignment horizontal="center" vertical="center"/>
    </xf>
    <xf numFmtId="14" fontId="8" fillId="0" borderId="3" xfId="0" applyNumberFormat="1" applyFont="1" applyBorder="1" applyAlignment="1">
      <alignment horizontal="center"/>
    </xf>
    <xf numFmtId="0" fontId="8" fillId="0" borderId="3" xfId="0" applyFont="1" applyBorder="1" applyAlignment="1">
      <alignment vertical="center"/>
    </xf>
    <xf numFmtId="0" fontId="12" fillId="0" borderId="3" xfId="0" applyFont="1" applyBorder="1"/>
    <xf numFmtId="1" fontId="8" fillId="0" borderId="16" xfId="0" applyNumberFormat="1" applyFont="1" applyBorder="1" applyAlignment="1">
      <alignment horizontal="center"/>
    </xf>
    <xf numFmtId="0" fontId="12" fillId="0" borderId="16" xfId="0" applyFont="1" applyBorder="1"/>
    <xf numFmtId="0" fontId="8" fillId="0" borderId="16" xfId="0" applyFont="1" applyBorder="1" applyAlignment="1">
      <alignment vertical="center"/>
    </xf>
    <xf numFmtId="165" fontId="8" fillId="0" borderId="6" xfId="0" applyNumberFormat="1" applyFont="1" applyBorder="1" applyAlignment="1">
      <alignment horizontal="center" shrinkToFit="1"/>
    </xf>
    <xf numFmtId="0" fontId="8" fillId="0" borderId="18" xfId="0" applyFont="1" applyBorder="1"/>
    <xf numFmtId="0" fontId="8" fillId="0" borderId="18" xfId="0" applyFont="1" applyBorder="1" applyAlignment="1" applyProtection="1">
      <alignment horizontal="center"/>
      <protection locked="0"/>
    </xf>
    <xf numFmtId="0" fontId="8" fillId="0" borderId="18" xfId="0" applyFont="1" applyBorder="1" applyAlignment="1">
      <alignment horizontal="center"/>
    </xf>
    <xf numFmtId="0" fontId="8" fillId="0" borderId="18" xfId="0" applyFont="1" applyBorder="1" applyAlignment="1">
      <alignment horizontal="left" wrapText="1"/>
    </xf>
    <xf numFmtId="0" fontId="8" fillId="0" borderId="18" xfId="0" applyFont="1" applyBorder="1" applyAlignment="1">
      <alignment horizontal="left"/>
    </xf>
    <xf numFmtId="1" fontId="8" fillId="0" borderId="18" xfId="0" applyNumberFormat="1" applyFont="1" applyBorder="1" applyAlignment="1">
      <alignment horizontal="center"/>
    </xf>
    <xf numFmtId="165" fontId="8" fillId="0" borderId="18" xfId="0" applyNumberFormat="1" applyFont="1" applyBorder="1" applyAlignment="1">
      <alignment horizontal="center"/>
    </xf>
    <xf numFmtId="2" fontId="8" fillId="0" borderId="18" xfId="0" applyNumberFormat="1" applyFont="1" applyBorder="1" applyAlignment="1">
      <alignment horizontal="center"/>
    </xf>
    <xf numFmtId="0" fontId="8" fillId="0" borderId="18" xfId="0" applyFont="1" applyBorder="1" applyAlignment="1">
      <alignment horizontal="center" wrapText="1"/>
    </xf>
    <xf numFmtId="165" fontId="8" fillId="0" borderId="18" xfId="0" applyNumberFormat="1" applyFont="1" applyBorder="1" applyAlignment="1">
      <alignment horizontal="center" shrinkToFit="1"/>
    </xf>
    <xf numFmtId="165" fontId="8" fillId="0" borderId="18" xfId="0" applyNumberFormat="1" applyFont="1" applyBorder="1" applyAlignment="1">
      <alignment horizontal="center" wrapText="1"/>
    </xf>
    <xf numFmtId="167" fontId="8" fillId="0" borderId="18" xfId="0" applyNumberFormat="1" applyFont="1" applyBorder="1" applyAlignment="1">
      <alignment horizontal="center" wrapText="1"/>
    </xf>
    <xf numFmtId="0" fontId="8" fillId="0" borderId="19" xfId="0" applyFont="1" applyBorder="1"/>
    <xf numFmtId="0" fontId="8" fillId="5" borderId="6" xfId="0" applyFont="1" applyFill="1" applyBorder="1" applyAlignment="1" applyProtection="1">
      <alignment horizontal="center"/>
      <protection locked="0"/>
    </xf>
    <xf numFmtId="0" fontId="8" fillId="5" borderId="6" xfId="0" applyFont="1" applyFill="1" applyBorder="1"/>
    <xf numFmtId="0" fontId="8" fillId="5" borderId="6" xfId="0" applyFont="1" applyFill="1" applyBorder="1" applyAlignment="1">
      <alignment horizontal="center"/>
    </xf>
    <xf numFmtId="164" fontId="8" fillId="5" borderId="6" xfId="0" applyNumberFormat="1" applyFont="1" applyFill="1" applyBorder="1" applyAlignment="1">
      <alignment horizontal="left" wrapText="1"/>
    </xf>
    <xf numFmtId="164" fontId="8" fillId="5" borderId="6" xfId="0" applyNumberFormat="1" applyFont="1" applyFill="1" applyBorder="1" applyAlignment="1">
      <alignment horizontal="left"/>
    </xf>
    <xf numFmtId="164" fontId="8" fillId="5" borderId="6" xfId="0" applyNumberFormat="1" applyFont="1" applyFill="1" applyBorder="1" applyAlignment="1">
      <alignment horizontal="center"/>
    </xf>
    <xf numFmtId="0" fontId="0" fillId="5" borderId="6" xfId="0" applyFill="1" applyBorder="1"/>
    <xf numFmtId="0" fontId="8" fillId="5" borderId="6" xfId="0" applyFont="1" applyFill="1" applyBorder="1" applyAlignment="1">
      <alignment horizontal="left"/>
    </xf>
    <xf numFmtId="1" fontId="8" fillId="5" borderId="6" xfId="0" applyNumberFormat="1" applyFont="1" applyFill="1" applyBorder="1" applyAlignment="1">
      <alignment horizontal="center"/>
    </xf>
    <xf numFmtId="165" fontId="8" fillId="5" borderId="6" xfId="0" applyNumberFormat="1" applyFont="1" applyFill="1" applyBorder="1" applyAlignment="1">
      <alignment horizontal="center"/>
    </xf>
    <xf numFmtId="2" fontId="8" fillId="5" borderId="6" xfId="0" applyNumberFormat="1" applyFont="1" applyFill="1" applyBorder="1" applyAlignment="1">
      <alignment horizontal="center"/>
    </xf>
    <xf numFmtId="0" fontId="8" fillId="5" borderId="6" xfId="0" quotePrefix="1" applyFont="1" applyFill="1" applyBorder="1" applyAlignment="1">
      <alignment horizontal="center"/>
    </xf>
    <xf numFmtId="14" fontId="8" fillId="5" borderId="6" xfId="0" quotePrefix="1" applyNumberFormat="1" applyFont="1" applyFill="1" applyBorder="1" applyAlignment="1">
      <alignment horizontal="center"/>
    </xf>
    <xf numFmtId="0" fontId="8" fillId="5" borderId="6" xfId="0" applyFont="1" applyFill="1" applyBorder="1" applyAlignment="1">
      <alignment horizontal="center" wrapText="1"/>
    </xf>
    <xf numFmtId="165" fontId="8" fillId="5" borderId="6" xfId="0" applyNumberFormat="1" applyFont="1" applyFill="1" applyBorder="1" applyAlignment="1">
      <alignment horizontal="center" wrapText="1"/>
    </xf>
    <xf numFmtId="167" fontId="8" fillId="5" borderId="6" xfId="0" applyNumberFormat="1" applyFont="1" applyFill="1" applyBorder="1" applyAlignment="1">
      <alignment horizontal="center" wrapText="1"/>
    </xf>
    <xf numFmtId="0" fontId="8" fillId="5" borderId="0" xfId="0" applyFont="1" applyFill="1"/>
    <xf numFmtId="0" fontId="8" fillId="5" borderId="1" xfId="0" applyFont="1" applyFill="1" applyBorder="1" applyAlignment="1" applyProtection="1">
      <alignment horizontal="center"/>
      <protection locked="0"/>
    </xf>
    <xf numFmtId="0" fontId="8" fillId="5" borderId="1" xfId="0" applyFont="1" applyFill="1" applyBorder="1"/>
    <xf numFmtId="0" fontId="8" fillId="5" borderId="1" xfId="0" applyFont="1" applyFill="1" applyBorder="1" applyAlignment="1">
      <alignment horizontal="center"/>
    </xf>
    <xf numFmtId="164" fontId="8" fillId="5" borderId="1" xfId="0" applyNumberFormat="1" applyFont="1" applyFill="1" applyBorder="1" applyAlignment="1">
      <alignment horizontal="left" wrapText="1"/>
    </xf>
    <xf numFmtId="164" fontId="8" fillId="5" borderId="1" xfId="0" applyNumberFormat="1" applyFont="1" applyFill="1" applyBorder="1" applyAlignment="1">
      <alignment horizontal="left"/>
    </xf>
    <xf numFmtId="164" fontId="8" fillId="5" borderId="1" xfId="0" applyNumberFormat="1" applyFont="1" applyFill="1" applyBorder="1" applyAlignment="1">
      <alignment horizontal="center"/>
    </xf>
    <xf numFmtId="0" fontId="8" fillId="5" borderId="1" xfId="0" applyFont="1" applyFill="1" applyBorder="1" applyAlignment="1">
      <alignment horizontal="left"/>
    </xf>
    <xf numFmtId="1" fontId="8" fillId="5" borderId="1" xfId="0" applyNumberFormat="1" applyFont="1" applyFill="1" applyBorder="1" applyAlignment="1">
      <alignment horizontal="center"/>
    </xf>
    <xf numFmtId="165" fontId="8" fillId="5" borderId="1" xfId="0" applyNumberFormat="1" applyFont="1" applyFill="1" applyBorder="1" applyAlignment="1">
      <alignment horizontal="center"/>
    </xf>
    <xf numFmtId="2" fontId="8" fillId="5" borderId="1" xfId="0" applyNumberFormat="1" applyFont="1" applyFill="1" applyBorder="1" applyAlignment="1">
      <alignment horizontal="center"/>
    </xf>
    <xf numFmtId="14" fontId="8" fillId="5" borderId="1" xfId="0" applyNumberFormat="1" applyFont="1" applyFill="1" applyBorder="1" applyAlignment="1">
      <alignment horizontal="center"/>
    </xf>
    <xf numFmtId="0" fontId="8" fillId="5" borderId="1" xfId="0" applyFont="1" applyFill="1" applyBorder="1" applyAlignment="1">
      <alignment horizontal="center" wrapText="1"/>
    </xf>
    <xf numFmtId="165" fontId="8" fillId="5" borderId="1" xfId="0" applyNumberFormat="1" applyFont="1" applyFill="1" applyBorder="1" applyAlignment="1">
      <alignment horizontal="center" wrapText="1"/>
    </xf>
    <xf numFmtId="167" fontId="8" fillId="5" borderId="1" xfId="0" applyNumberFormat="1" applyFont="1" applyFill="1" applyBorder="1" applyAlignment="1">
      <alignment horizontal="center" wrapText="1"/>
    </xf>
    <xf numFmtId="0" fontId="8" fillId="5" borderId="1" xfId="0" applyFont="1" applyFill="1" applyBorder="1" applyAlignment="1">
      <alignment vertical="center"/>
    </xf>
    <xf numFmtId="0" fontId="8" fillId="5" borderId="1" xfId="0" quotePrefix="1" applyFont="1" applyFill="1" applyBorder="1" applyAlignment="1">
      <alignment horizontal="center"/>
    </xf>
    <xf numFmtId="14" fontId="8" fillId="5" borderId="1" xfId="0" quotePrefix="1" applyNumberFormat="1" applyFont="1" applyFill="1" applyBorder="1" applyAlignment="1">
      <alignment horizontal="center"/>
    </xf>
    <xf numFmtId="0" fontId="8" fillId="5" borderId="1" xfId="0" applyFont="1" applyFill="1" applyBorder="1" applyAlignment="1">
      <alignment horizontal="center" vertical="center"/>
    </xf>
    <xf numFmtId="0" fontId="8" fillId="5" borderId="6" xfId="0" applyFont="1" applyFill="1" applyBorder="1" applyAlignment="1">
      <alignment horizontal="left" wrapText="1"/>
    </xf>
    <xf numFmtId="14" fontId="8" fillId="5" borderId="6" xfId="0" applyNumberFormat="1" applyFont="1" applyFill="1" applyBorder="1" applyAlignment="1">
      <alignment horizontal="center"/>
    </xf>
    <xf numFmtId="0" fontId="8" fillId="5" borderId="1" xfId="0" applyFont="1" applyFill="1" applyBorder="1" applyAlignment="1">
      <alignment horizontal="left" wrapText="1"/>
    </xf>
    <xf numFmtId="0" fontId="12" fillId="5" borderId="1" xfId="0" applyFont="1" applyFill="1" applyBorder="1"/>
    <xf numFmtId="0" fontId="12" fillId="5" borderId="1" xfId="0" applyFont="1" applyFill="1" applyBorder="1" applyAlignment="1">
      <alignment horizontal="center"/>
    </xf>
    <xf numFmtId="0" fontId="0" fillId="5" borderId="1" xfId="0" applyFill="1" applyBorder="1"/>
    <xf numFmtId="0" fontId="12" fillId="5" borderId="1" xfId="0" applyFont="1" applyFill="1" applyBorder="1" applyAlignment="1">
      <alignment horizontal="left"/>
    </xf>
    <xf numFmtId="2" fontId="8" fillId="5" borderId="1" xfId="0" applyNumberFormat="1" applyFont="1" applyFill="1" applyBorder="1" applyAlignment="1">
      <alignment horizontal="left" wrapText="1"/>
    </xf>
    <xf numFmtId="2" fontId="8" fillId="5" borderId="1" xfId="0" applyNumberFormat="1" applyFont="1" applyFill="1" applyBorder="1" applyAlignment="1">
      <alignment horizontal="left"/>
    </xf>
    <xf numFmtId="0" fontId="10" fillId="5" borderId="1" xfId="0" applyFont="1" applyFill="1" applyBorder="1"/>
    <xf numFmtId="0" fontId="8" fillId="5" borderId="3" xfId="0" applyFont="1" applyFill="1" applyBorder="1" applyAlignment="1" applyProtection="1">
      <alignment horizontal="center"/>
      <protection locked="0"/>
    </xf>
    <xf numFmtId="0" fontId="8" fillId="5" borderId="3" xfId="0" applyFont="1" applyFill="1" applyBorder="1"/>
    <xf numFmtId="0" fontId="8" fillId="5" borderId="3" xfId="0" applyFont="1" applyFill="1" applyBorder="1" applyAlignment="1">
      <alignment horizontal="center"/>
    </xf>
    <xf numFmtId="0" fontId="8" fillId="5" borderId="3" xfId="0" applyFont="1" applyFill="1" applyBorder="1" applyAlignment="1">
      <alignment horizontal="left" wrapText="1"/>
    </xf>
    <xf numFmtId="0" fontId="8" fillId="5" borderId="3" xfId="0" applyFont="1" applyFill="1" applyBorder="1" applyAlignment="1">
      <alignment horizontal="left"/>
    </xf>
    <xf numFmtId="0" fontId="0" fillId="5" borderId="3" xfId="0" applyFill="1" applyBorder="1"/>
    <xf numFmtId="1" fontId="8" fillId="5" borderId="3" xfId="0" applyNumberFormat="1" applyFont="1" applyFill="1" applyBorder="1" applyAlignment="1">
      <alignment horizontal="center"/>
    </xf>
    <xf numFmtId="165" fontId="8" fillId="5" borderId="3" xfId="0" applyNumberFormat="1" applyFont="1" applyFill="1" applyBorder="1" applyAlignment="1">
      <alignment horizontal="center"/>
    </xf>
    <xf numFmtId="2" fontId="8" fillId="5" borderId="3" xfId="0" applyNumberFormat="1" applyFont="1" applyFill="1" applyBorder="1" applyAlignment="1">
      <alignment horizontal="center"/>
    </xf>
    <xf numFmtId="0" fontId="8" fillId="5" borderId="3" xfId="0" quotePrefix="1" applyFont="1" applyFill="1" applyBorder="1" applyAlignment="1">
      <alignment horizontal="center"/>
    </xf>
    <xf numFmtId="14" fontId="8" fillId="5" borderId="3" xfId="0" quotePrefix="1" applyNumberFormat="1" applyFont="1" applyFill="1" applyBorder="1" applyAlignment="1">
      <alignment horizontal="center"/>
    </xf>
    <xf numFmtId="0" fontId="8" fillId="5" borderId="3" xfId="0" applyFont="1" applyFill="1" applyBorder="1" applyAlignment="1">
      <alignment horizontal="center" wrapText="1"/>
    </xf>
    <xf numFmtId="165" fontId="8" fillId="5" borderId="3" xfId="0" applyNumberFormat="1" applyFont="1" applyFill="1" applyBorder="1" applyAlignment="1">
      <alignment horizontal="center" wrapText="1"/>
    </xf>
    <xf numFmtId="167" fontId="8" fillId="5" borderId="3" xfId="0" applyNumberFormat="1" applyFont="1" applyFill="1" applyBorder="1" applyAlignment="1">
      <alignment horizontal="center" wrapText="1"/>
    </xf>
    <xf numFmtId="0" fontId="8" fillId="5" borderId="6" xfId="0" applyFont="1" applyFill="1" applyBorder="1" applyAlignment="1">
      <alignment vertical="center"/>
    </xf>
    <xf numFmtId="0" fontId="8" fillId="5" borderId="6" xfId="0" applyFont="1" applyFill="1" applyBorder="1" applyAlignment="1">
      <alignment horizontal="center" vertical="center"/>
    </xf>
    <xf numFmtId="165" fontId="8" fillId="5" borderId="1" xfId="0" applyNumberFormat="1" applyFont="1" applyFill="1" applyBorder="1" applyAlignment="1">
      <alignment horizontal="center" vertical="center"/>
    </xf>
    <xf numFmtId="164" fontId="8" fillId="5" borderId="3" xfId="0" applyNumberFormat="1" applyFont="1" applyFill="1" applyBorder="1" applyAlignment="1">
      <alignment horizontal="center"/>
    </xf>
    <xf numFmtId="164" fontId="8" fillId="5" borderId="3" xfId="0" applyNumberFormat="1" applyFont="1" applyFill="1" applyBorder="1" applyAlignment="1">
      <alignment horizontal="left"/>
    </xf>
    <xf numFmtId="14" fontId="8" fillId="5" borderId="3" xfId="0" applyNumberFormat="1" applyFont="1" applyFill="1" applyBorder="1" applyAlignment="1">
      <alignment horizontal="center"/>
    </xf>
    <xf numFmtId="165" fontId="8" fillId="5" borderId="3" xfId="0" applyNumberFormat="1" applyFont="1" applyFill="1" applyBorder="1" applyAlignment="1">
      <alignment horizontal="center" shrinkToFit="1"/>
    </xf>
    <xf numFmtId="0" fontId="12" fillId="5" borderId="6" xfId="0" applyFont="1" applyFill="1" applyBorder="1"/>
    <xf numFmtId="0" fontId="12" fillId="5" borderId="3" xfId="0" applyFont="1" applyFill="1" applyBorder="1"/>
    <xf numFmtId="0" fontId="8" fillId="5" borderId="3" xfId="0" applyFont="1" applyFill="1" applyBorder="1" applyAlignment="1">
      <alignment vertical="center"/>
    </xf>
    <xf numFmtId="2" fontId="8" fillId="0" borderId="16" xfId="1" applyNumberFormat="1" applyFont="1" applyFill="1" applyBorder="1" applyAlignment="1">
      <alignment horizontal="center"/>
    </xf>
    <xf numFmtId="1" fontId="8" fillId="0" borderId="1" xfId="0" applyNumberFormat="1" applyFont="1" applyBorder="1" applyAlignment="1">
      <alignment horizontal="center" wrapText="1"/>
    </xf>
    <xf numFmtId="0" fontId="9" fillId="0" borderId="1" xfId="0" applyFont="1" applyBorder="1" applyAlignment="1" applyProtection="1">
      <alignment horizontal="center" wrapText="1"/>
      <protection locked="0"/>
    </xf>
    <xf numFmtId="0" fontId="9" fillId="0" borderId="15" xfId="0" applyFont="1" applyBorder="1" applyAlignment="1" applyProtection="1">
      <alignment horizontal="center" wrapText="1"/>
      <protection locked="0"/>
    </xf>
    <xf numFmtId="0" fontId="9" fillId="0" borderId="14" xfId="0" applyFont="1" applyBorder="1" applyAlignment="1" applyProtection="1">
      <alignment horizontal="center" wrapText="1"/>
      <protection locked="0"/>
    </xf>
    <xf numFmtId="0" fontId="8" fillId="0" borderId="16" xfId="0" applyFont="1" applyBorder="1" applyProtection="1">
      <protection locked="0"/>
    </xf>
    <xf numFmtId="0" fontId="13" fillId="0" borderId="0" xfId="0" applyFont="1" applyAlignment="1" applyProtection="1">
      <alignment horizontal="center"/>
      <protection locked="0"/>
    </xf>
    <xf numFmtId="0" fontId="8" fillId="0" borderId="16" xfId="0" applyFont="1" applyBorder="1" applyAlignment="1">
      <alignment horizontal="center" wrapText="1"/>
    </xf>
    <xf numFmtId="0" fontId="5" fillId="0" borderId="0" xfId="0" applyFont="1" applyAlignment="1">
      <alignment wrapText="1"/>
    </xf>
    <xf numFmtId="0" fontId="0" fillId="0" borderId="0" xfId="0" applyAlignment="1">
      <alignment wrapText="1"/>
    </xf>
  </cellXfs>
  <cellStyles count="2">
    <cellStyle name="Hyperlink" xfId="1" builtinId="8"/>
    <cellStyle name="Normal" xfId="0" builtinId="0"/>
  </cellStyles>
  <dxfs count="369">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sz val="12"/>
        <name val="Arial"/>
        <family val="2"/>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center" vertical="bottom" textRotation="0" wrapText="0" indent="0" justifyLastLine="0" shrinkToFit="0" readingOrder="0"/>
    </dxf>
    <dxf>
      <font>
        <b val="0"/>
        <sz val="12"/>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dxf>
    <dxf>
      <font>
        <b val="0"/>
        <sz val="12"/>
        <name val="Arial"/>
        <family val="2"/>
        <scheme val="none"/>
      </font>
      <numFmt numFmtId="0" formatCode="General"/>
      <fill>
        <patternFill patternType="none">
          <fgColor indexed="64"/>
          <bgColor indexed="65"/>
        </patternFill>
      </fill>
    </dxf>
    <dxf>
      <font>
        <b val="0"/>
      </font>
      <fill>
        <patternFill patternType="none">
          <fgColor indexed="64"/>
          <bgColor indexed="65"/>
        </patternFill>
      </fill>
    </dxf>
    <dxf>
      <font>
        <b val="0"/>
        <family val="2"/>
      </font>
    </dxf>
    <dxf>
      <font>
        <b val="0"/>
        <family val="2"/>
      </font>
      <fill>
        <patternFill patternType="none">
          <fgColor indexed="64"/>
          <bgColor indexed="65"/>
        </patternFill>
      </fill>
      <alignment horizontal="center" vertical="bottom" textRotation="0" wrapText="0" indent="0" justifyLastLine="0" shrinkToFit="0" readingOrder="0"/>
    </dxf>
    <dxf>
      <border outline="0">
        <bottom style="medium">
          <color indexed="64"/>
        </bottom>
      </border>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2" formatCode="0.0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val="0"/>
        <i val="0"/>
        <strike val="0"/>
        <condense val="0"/>
        <extend val="0"/>
        <outline val="0"/>
        <shadow val="0"/>
        <u val="none"/>
        <vertAlign val="baseline"/>
        <sz val="12"/>
        <color theme="1"/>
        <name val="Arial"/>
        <family val="2"/>
        <scheme val="none"/>
      </font>
      <fill>
        <patternFill patternType="none">
          <fgColor indexed="64"/>
          <bgColor indexed="65"/>
        </patternFill>
      </fill>
    </dxf>
    <dxf>
      <font>
        <b val="0"/>
        <i val="0"/>
        <strike val="0"/>
        <condense val="0"/>
        <extend val="0"/>
        <outline val="0"/>
        <shadow val="0"/>
        <u val="none"/>
        <vertAlign val="baseline"/>
        <sz val="12"/>
        <color theme="1"/>
        <name val="Arial"/>
        <family val="2"/>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2"/>
        <color theme="1"/>
        <name val="Arial"/>
        <family val="2"/>
        <scheme val="none"/>
      </font>
      <fill>
        <patternFill patternType="none">
          <fgColor indexed="64"/>
          <bgColor indexed="65"/>
        </patternFill>
      </fill>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numFmt numFmtId="2" formatCode="0.00"/>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protection locked="0" hidden="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1"/>
        <color theme="1"/>
        <name val="Calibri"/>
        <family val="2"/>
        <scheme val="minor"/>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family val="2"/>
        <scheme val="none"/>
      </font>
      <numFmt numFmtId="2" formatCode="0.00"/>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family val="2"/>
        <scheme val="none"/>
      </font>
      <fill>
        <patternFill patternType="none">
          <fgColor indexed="64"/>
          <bgColor auto="1"/>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theme="1"/>
        <name val="Arial"/>
        <family val="2"/>
        <scheme val="none"/>
      </font>
      <fill>
        <patternFill patternType="none">
          <fgColor indexed="64"/>
          <bgColor auto="1"/>
        </patternFill>
      </fill>
      <alignment horizontal="center"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11"/>
        <color theme="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dxf>
    <dxf>
      <font>
        <strike val="0"/>
        <outline val="0"/>
        <shadow val="0"/>
        <u val="none"/>
        <vertAlign val="baseline"/>
        <sz val="11"/>
      </font>
    </dxf>
    <dxf>
      <font>
        <b val="0"/>
        <i val="0"/>
        <strike val="0"/>
        <condense val="0"/>
        <extend val="0"/>
        <outline val="0"/>
        <shadow val="0"/>
        <u val="none"/>
        <vertAlign val="baseline"/>
        <sz val="11"/>
        <color theme="1"/>
        <name val="Calibri"/>
        <family val="2"/>
        <scheme val="minor"/>
      </font>
      <protection locked="0" hidden="0"/>
    </dxf>
    <dxf>
      <font>
        <strike val="0"/>
        <outline val="0"/>
        <shadow val="0"/>
        <u val="none"/>
        <vertAlign val="baseline"/>
        <sz val="11"/>
      </font>
      <alignment horizontal="center" vertical="bottom" textRotation="0" wrapText="0" indent="0" justifyLastLine="0" shrinkToFit="0" readingOrder="0"/>
    </dxf>
    <dxf>
      <font>
        <strike val="0"/>
        <outline val="0"/>
        <shadow val="0"/>
        <u val="none"/>
        <vertAlign val="baseline"/>
        <sz val="11"/>
      </font>
      <alignment horizontal="center" vertical="bottom" textRotation="0" wrapText="0" indent="0" justifyLastLine="0" shrinkToFit="0" readingOrder="0"/>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Sidney Innerebner" id="{5E0FE5B2-07CF-4075-8F80-E37D8AD36B2E}" userId="S::sidney@indigowatergroup.com::538896ef-d7d1-4eba-8f1c-2911e8837f1f"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066CD4D-8934-4623-B0CF-2F56F480C819}" name="Table3" displayName="Table3" ref="A2:I9" totalsRowShown="0" headerRowDxfId="367" dataDxfId="366">
  <autoFilter ref="A2:I9" xr:uid="{6066CD4D-8934-4623-B0CF-2F56F480C819}"/>
  <tableColumns count="9">
    <tableColumn id="1" xr3:uid="{EB3DCE66-8A86-4552-9324-794EA2C66F7B}" name="Course ID" dataDxfId="365"/>
    <tableColumn id="2" xr3:uid="{0428D359-2604-453F-A6D9-994518B2B2ED}" name="Topic" dataDxfId="364">
      <calculatedColumnFormula>LOOKUP($A3,$X:$X,Y:Y)</calculatedColumnFormula>
    </tableColumn>
    <tableColumn id="3" xr3:uid="{3A1394B9-CD9D-4EB6-B34E-A281C3AD0453}" name="Approval #" dataDxfId="363">
      <calculatedColumnFormula>LOOKUP($A3,$X:$X,Z:Z)</calculatedColumnFormula>
    </tableColumn>
    <tableColumn id="4" xr3:uid="{6F79EC51-0960-4CC8-A595-D76194AEBFBE}" name="Max" dataDxfId="362">
      <calculatedColumnFormula>LOOKUP($A3,$X:$X,AA:AA)</calculatedColumnFormula>
    </tableColumn>
    <tableColumn id="5" xr3:uid="{6243066C-8314-4805-ABED-BDAAED973ACF}" name="W" dataDxfId="361">
      <calculatedColumnFormula>LOOKUP($A3,$X:$X,AB:AB)</calculatedColumnFormula>
    </tableColumn>
    <tableColumn id="6" xr3:uid="{4ABF92E7-7485-48B8-AB45-9A308EB1FC0C}" name="WW" dataDxfId="360">
      <calculatedColumnFormula>LOOKUP($A3,$X:$X,AC:AC)</calculatedColumnFormula>
    </tableColumn>
    <tableColumn id="7" xr3:uid="{ADC54B71-B573-4D37-B00D-D9D61B7B074C}" name="I" dataDxfId="359">
      <calculatedColumnFormula>LOOKUP($A3,$X:$X,AD:AD)</calculatedColumnFormula>
    </tableColumn>
    <tableColumn id="8" xr3:uid="{CF691DF7-3E95-4F4D-8129-C69BE978F653}" name="D" dataDxfId="358">
      <calculatedColumnFormula>LOOKUP($A3,$X:$X,AE:AE)</calculatedColumnFormula>
    </tableColumn>
    <tableColumn id="9" xr3:uid="{184D0404-3AFE-4445-B64D-705C2214AF92}" name="C" dataDxfId="357">
      <calculatedColumnFormula>LOOKUP($A3,$X:$X,AF:AF)</calculatedColumnFormula>
    </tableColumn>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CE00112D-811F-4740-9FA2-C0F3C4D5ECBC}" name="Table39101217" displayName="Table39101217" ref="A94:I110" totalsRowShown="0" headerRowDxfId="265" dataDxfId="264">
  <autoFilter ref="A94:I110" xr:uid="{CE00112D-811F-4740-9FA2-C0F3C4D5ECBC}"/>
  <tableColumns count="9">
    <tableColumn id="1" xr3:uid="{F795602E-66D8-4973-A4E2-9A0B02FA76A4}" name="Course ID" dataDxfId="263"/>
    <tableColumn id="2" xr3:uid="{7A2836A8-075D-42BC-8CAB-F435778EABE9}" name="Topic" dataDxfId="262">
      <calculatedColumnFormula>LOOKUP($A95,$X:$X,Y:Y)</calculatedColumnFormula>
    </tableColumn>
    <tableColumn id="3" xr3:uid="{33354F00-A816-4981-A51C-F1885C52822C}" name="Approval #" dataDxfId="261">
      <calculatedColumnFormula>LOOKUP($A95,$X:$X,Z:Z)</calculatedColumnFormula>
    </tableColumn>
    <tableColumn id="4" xr3:uid="{4FE820E0-D0A8-430E-ACB6-8944491F675D}" name="Max" dataDxfId="260">
      <calculatedColumnFormula>LOOKUP($A95,$X:$X,AA:AA)</calculatedColumnFormula>
    </tableColumn>
    <tableColumn id="5" xr3:uid="{3C038B3D-717C-43BD-9620-F311C9B27FF5}" name="W" dataDxfId="259">
      <calculatedColumnFormula>LOOKUP($A95,$X:$X,AB:AB)</calculatedColumnFormula>
    </tableColumn>
    <tableColumn id="6" xr3:uid="{1808CC67-7DDB-47F0-9593-6443CFBE5E05}" name="WW" dataDxfId="258">
      <calculatedColumnFormula>LOOKUP($A95,$X:$X,AC:AC)</calculatedColumnFormula>
    </tableColumn>
    <tableColumn id="7" xr3:uid="{2D6E5C46-FFFE-4893-B2DF-6CC4EE5BA7A8}" name="I" dataDxfId="257">
      <calculatedColumnFormula>LOOKUP($A95,$X:$X,AD:AD)</calculatedColumnFormula>
    </tableColumn>
    <tableColumn id="8" xr3:uid="{2A2C91C0-922D-4465-ACDF-C3742FAB2741}" name="D" dataDxfId="256">
      <calculatedColumnFormula>LOOKUP($A95,$X:$X,AE:AE)</calculatedColumnFormula>
    </tableColumn>
    <tableColumn id="9" xr3:uid="{8527DD60-B35E-4898-97F7-1D1700B4BECA}" name="C" dataDxfId="255">
      <calculatedColumnFormula>LOOKUP($A95,$X:$X,AF:AF)</calculatedColumnFormula>
    </tableColumn>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AEB706C4-8B89-4850-BDD8-AA2F14A75DC6}" name="Table39101218" displayName="Table39101218" ref="A114:I132" totalsRowShown="0" headerRowDxfId="254" dataDxfId="253">
  <autoFilter ref="A114:I132" xr:uid="{AEB706C4-8B89-4850-BDD8-AA2F14A75DC6}"/>
  <tableColumns count="9">
    <tableColumn id="1" xr3:uid="{AD3ED5FF-2A59-4EEE-A568-A5DE4A40B627}" name="Course ID" dataDxfId="252"/>
    <tableColumn id="2" xr3:uid="{62B37778-92B5-416D-90DA-7D80DDC6917A}" name="Topic" dataDxfId="251">
      <calculatedColumnFormula>LOOKUP($A115,$X:$X,Y:Y)</calculatedColumnFormula>
    </tableColumn>
    <tableColumn id="3" xr3:uid="{9145E15F-0630-41AA-8BA2-D7816DA792F4}" name="Approval #" dataDxfId="250">
      <calculatedColumnFormula>LOOKUP($A115,$X:$X,Z:Z)</calculatedColumnFormula>
    </tableColumn>
    <tableColumn id="4" xr3:uid="{C457CECA-1AB2-4369-A847-D406D5FB59A5}" name="Max" dataDxfId="249">
      <calculatedColumnFormula>LOOKUP($A115,$X:$X,AA:AA)</calculatedColumnFormula>
    </tableColumn>
    <tableColumn id="5" xr3:uid="{E59E2638-F5D7-4E9B-B620-6BC7ED61FEF1}" name="W" dataDxfId="248">
      <calculatedColumnFormula>LOOKUP($A115,$X:$X,AB:AB)</calculatedColumnFormula>
    </tableColumn>
    <tableColumn id="6" xr3:uid="{33501B0E-2C3C-4B11-B0ED-C25141DF5E20}" name="WW" dataDxfId="247">
      <calculatedColumnFormula>LOOKUP($A115,$X:$X,AC:AC)</calculatedColumnFormula>
    </tableColumn>
    <tableColumn id="7" xr3:uid="{F807D98D-3137-4E03-A637-E1B405C9D53E}" name="I" dataDxfId="246">
      <calculatedColumnFormula>LOOKUP($A115,$X:$X,AD:AD)</calculatedColumnFormula>
    </tableColumn>
    <tableColumn id="8" xr3:uid="{3A210773-8A59-4FCE-8B68-0D6CCA231623}" name="D" dataDxfId="245">
      <calculatedColumnFormula>LOOKUP($A115,$X:$X,AE:AE)</calculatedColumnFormula>
    </tableColumn>
    <tableColumn id="9" xr3:uid="{94DA6351-5735-4DEC-8069-CCD2A9FE0119}" name="C" dataDxfId="244">
      <calculatedColumnFormula>LOOKUP($A115,$X:$X,AF:AF)</calculatedColumnFormula>
    </tableColumn>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1CECC111-206B-43E1-9E43-DBBFAB0680FD}" name="Table3910121820" displayName="Table3910121820" ref="A136:I147" totalsRowShown="0" headerRowDxfId="243" dataDxfId="242">
  <autoFilter ref="A136:I147" xr:uid="{1CECC111-206B-43E1-9E43-DBBFAB0680FD}"/>
  <tableColumns count="9">
    <tableColumn id="1" xr3:uid="{2BA7ECC8-6C3D-4015-B9AB-BDACD5349DF3}" name="Course ID" dataDxfId="241"/>
    <tableColumn id="2" xr3:uid="{8E1947F1-D1EA-4052-9537-9F1B2EC37424}" name="Topic" dataDxfId="240">
      <calculatedColumnFormula>LOOKUP($A137,$X:$X,Y:Y)</calculatedColumnFormula>
    </tableColumn>
    <tableColumn id="3" xr3:uid="{364A5E07-CFC2-46FB-97EF-1770D31104B2}" name="Approval #" dataDxfId="239">
      <calculatedColumnFormula>LOOKUP($A137,$X:$X,Z:Z)</calculatedColumnFormula>
    </tableColumn>
    <tableColumn id="4" xr3:uid="{4F7997F2-F4FF-426A-BB54-D7BCD64A37B5}" name="Max" dataDxfId="238">
      <calculatedColumnFormula>LOOKUP($A137,$X:$X,AA:AA)</calculatedColumnFormula>
    </tableColumn>
    <tableColumn id="5" xr3:uid="{586FC1FB-61CE-4949-9918-C033501CD664}" name="W" dataDxfId="237">
      <calculatedColumnFormula>LOOKUP($A137,$X:$X,AB:AB)</calculatedColumnFormula>
    </tableColumn>
    <tableColumn id="6" xr3:uid="{F752F4DB-AF09-418E-AE8F-286EDD45423C}" name="WW" dataDxfId="236">
      <calculatedColumnFormula>LOOKUP($A137,$X:$X,AC:AC)</calculatedColumnFormula>
    </tableColumn>
    <tableColumn id="7" xr3:uid="{28C8E4A0-1952-4832-80C8-31E287DCD25D}" name="I" dataDxfId="235">
      <calculatedColumnFormula>LOOKUP($A137,$X:$X,AD:AD)</calculatedColumnFormula>
    </tableColumn>
    <tableColumn id="8" xr3:uid="{4512761B-5ABE-499C-92D0-409BF3C7815F}" name="D" dataDxfId="234">
      <calculatedColumnFormula>LOOKUP($A137,$X:$X,AE:AE)</calculatedColumnFormula>
    </tableColumn>
    <tableColumn id="9" xr3:uid="{8B94B155-DE60-40B8-AF23-0FCEDFECE589}" name="C" dataDxfId="233">
      <calculatedColumnFormula>LOOKUP($A137,$X:$X,AF:AF)</calculatedColumnFormula>
    </tableColumn>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5202658-98AF-4876-8924-D8FD76A01232}" name="Table3910121821" displayName="Table3910121821" ref="A151:I158" totalsRowShown="0" headerRowDxfId="232" dataDxfId="231">
  <autoFilter ref="A151:I158" xr:uid="{15202658-98AF-4876-8924-D8FD76A01232}"/>
  <tableColumns count="9">
    <tableColumn id="1" xr3:uid="{711A1EEB-3965-4057-A539-D8978F4AE227}" name="Course ID" dataDxfId="230"/>
    <tableColumn id="2" xr3:uid="{CC2A0644-9CB1-46D3-9AAF-F012E7C8D652}" name="Topic" dataDxfId="229">
      <calculatedColumnFormula>LOOKUP($A152,$X:$X,Y:Y)</calculatedColumnFormula>
    </tableColumn>
    <tableColumn id="3" xr3:uid="{C7BC0A6A-2B5B-440F-A802-81B419AA2F01}" name="Approval #" dataDxfId="228">
      <calculatedColumnFormula>LOOKUP($A152,$X:$X,Z:Z)</calculatedColumnFormula>
    </tableColumn>
    <tableColumn id="4" xr3:uid="{877DED70-7C12-4401-80E6-5FB0873EC967}" name="Max" dataDxfId="227">
      <calculatedColumnFormula>LOOKUP($A152,$X:$X,AA:AA)</calculatedColumnFormula>
    </tableColumn>
    <tableColumn id="5" xr3:uid="{41034C37-7363-4A82-BA71-C40075541795}" name="W" dataDxfId="226">
      <calculatedColumnFormula>LOOKUP($A152,$X:$X,AB:AB)</calculatedColumnFormula>
    </tableColumn>
    <tableColumn id="6" xr3:uid="{6424D0AC-536E-4A71-B00A-192816983F28}" name="WW" dataDxfId="225">
      <calculatedColumnFormula>LOOKUP($A152,$X:$X,AC:AC)</calculatedColumnFormula>
    </tableColumn>
    <tableColumn id="7" xr3:uid="{EC7BA7D8-8507-44CB-8EE3-3B59C808ADE1}" name="I" dataDxfId="224">
      <calculatedColumnFormula>LOOKUP($A152,$X:$X,AD:AD)</calculatedColumnFormula>
    </tableColumn>
    <tableColumn id="8" xr3:uid="{687FB065-279F-4C32-BF1F-C7699D4FF0E8}" name="D" dataDxfId="223">
      <calculatedColumnFormula>LOOKUP($A152,$X:$X,AE:AE)</calculatedColumnFormula>
    </tableColumn>
    <tableColumn id="9" xr3:uid="{3FBCE845-E331-4E3C-9898-5C55FB4B2074}" name="C" dataDxfId="222">
      <calculatedColumnFormula>LOOKUP($A152,$X:$X,AF:AF)</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8210C060-B7A6-4BC4-93D4-C6216EC7ECF1}" name="Table391012182123" displayName="Table391012182123" ref="A162:I173" totalsRowShown="0" headerRowDxfId="221" dataDxfId="220">
  <autoFilter ref="A162:I173" xr:uid="{8210C060-B7A6-4BC4-93D4-C6216EC7ECF1}"/>
  <tableColumns count="9">
    <tableColumn id="1" xr3:uid="{E73668D5-5DCC-4ED1-80DD-E437B18087D8}" name="Course ID" dataDxfId="219"/>
    <tableColumn id="2" xr3:uid="{5B0B8AAE-0536-4E77-94A0-DD6C557C8A34}" name="Topic" dataDxfId="218">
      <calculatedColumnFormula>LOOKUP($A163,$X:$X,Y:Y)</calculatedColumnFormula>
    </tableColumn>
    <tableColumn id="3" xr3:uid="{64970C21-357B-46CB-AC42-DDBC51A310D3}" name="Approval #" dataDxfId="217">
      <calculatedColumnFormula>LOOKUP($A163,$X:$X,Z:Z)</calculatedColumnFormula>
    </tableColumn>
    <tableColumn id="4" xr3:uid="{40270242-0032-484C-9948-F33FA154FD98}" name="Max" dataDxfId="216">
      <calculatedColumnFormula>LOOKUP($A163,$X:$X,AA:AA)</calculatedColumnFormula>
    </tableColumn>
    <tableColumn id="5" xr3:uid="{0F375EDC-8072-4792-BE81-EF98AEBCBE36}" name="W" dataDxfId="215">
      <calculatedColumnFormula>LOOKUP($A163,$X:$X,AB:AB)</calculatedColumnFormula>
    </tableColumn>
    <tableColumn id="6" xr3:uid="{DF01A118-C04C-41D1-BEB9-8D8A06AE921F}" name="WW" dataDxfId="214">
      <calculatedColumnFormula>LOOKUP($A163,$X:$X,AC:AC)</calculatedColumnFormula>
    </tableColumn>
    <tableColumn id="7" xr3:uid="{509B8FF4-0FEB-4EAC-A579-2A4DD203DFFB}" name="I" dataDxfId="213">
      <calculatedColumnFormula>LOOKUP($A163,$X:$X,AD:AD)</calculatedColumnFormula>
    </tableColumn>
    <tableColumn id="8" xr3:uid="{92935251-7D0B-4F1F-B889-F42CDCC08BF1}" name="D" dataDxfId="212">
      <calculatedColumnFormula>LOOKUP($A163,$X:$X,AE:AE)</calculatedColumnFormula>
    </tableColumn>
    <tableColumn id="9" xr3:uid="{69DE6EF7-382A-4DF8-80AD-426FB2A91BB6}" name="C" dataDxfId="211">
      <calculatedColumnFormula>LOOKUP($A163,$X:$X,AF:AF)</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3D1AD27C-3EB9-4225-88F8-D74670B40D1A}" name="Table391012182125" displayName="Table391012182125" ref="A177:I188" totalsRowShown="0" headerRowDxfId="210" dataDxfId="209">
  <autoFilter ref="A177:I188" xr:uid="{3D1AD27C-3EB9-4225-88F8-D74670B40D1A}"/>
  <tableColumns count="9">
    <tableColumn id="1" xr3:uid="{4639716A-5237-4241-9E8A-7A84F6D6F0FC}" name="Course ID" dataDxfId="208"/>
    <tableColumn id="2" xr3:uid="{B2905BE1-F12A-43F0-A960-25CF6567B5B1}" name="Topic" dataDxfId="207">
      <calculatedColumnFormula>LOOKUP($A178,$X:$X,Y:Y)</calculatedColumnFormula>
    </tableColumn>
    <tableColumn id="3" xr3:uid="{EC7EC7F1-FE51-47F8-BE86-103A77B839E6}" name="Approval #" dataDxfId="206">
      <calculatedColumnFormula>LOOKUP($A178,$X:$X,Z:Z)</calculatedColumnFormula>
    </tableColumn>
    <tableColumn id="4" xr3:uid="{016D4AAC-DA49-4BE6-B11D-6CA85804735B}" name="Max" dataDxfId="205">
      <calculatedColumnFormula>LOOKUP($A178,$X:$X,AA:AA)</calculatedColumnFormula>
    </tableColumn>
    <tableColumn id="5" xr3:uid="{F6370DAE-17A2-4560-85D8-5EAF0EF7F763}" name="W" dataDxfId="204">
      <calculatedColumnFormula>LOOKUP($A178,$X:$X,AB:AB)</calculatedColumnFormula>
    </tableColumn>
    <tableColumn id="6" xr3:uid="{3C9C08B6-B9A1-4F2B-B1F7-BD4A8F6285FD}" name="WW" dataDxfId="203">
      <calculatedColumnFormula>LOOKUP($A178,$X:$X,AC:AC)</calculatedColumnFormula>
    </tableColumn>
    <tableColumn id="7" xr3:uid="{CE43E083-6080-4CB5-99F3-E06769312130}" name="I" dataDxfId="202">
      <calculatedColumnFormula>LOOKUP($A178,$X:$X,AD:AD)</calculatedColumnFormula>
    </tableColumn>
    <tableColumn id="8" xr3:uid="{81E01CC1-9C87-4F03-A28C-B75F65A2C433}" name="D" dataDxfId="201">
      <calculatedColumnFormula>LOOKUP($A178,$X:$X,AE:AE)</calculatedColumnFormula>
    </tableColumn>
    <tableColumn id="9" xr3:uid="{B980E0FC-B7A9-4AD7-8B6A-16BE3FDA9C32}" name="C" dataDxfId="200">
      <calculatedColumnFormula>LOOKUP($A178,$X:$X,AF:AF)</calculatedColumnFormula>
    </tableColumn>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AB98A08A-8876-4B34-ADEB-E522482546B6}" name="Table391012182126" displayName="Table391012182126" ref="A192:I206" totalsRowShown="0" headerRowDxfId="199" dataDxfId="198">
  <autoFilter ref="A192:I206" xr:uid="{AB98A08A-8876-4B34-ADEB-E522482546B6}"/>
  <tableColumns count="9">
    <tableColumn id="1" xr3:uid="{65D9E6B1-9145-421F-BE08-58C5D6A60501}" name="Course ID" dataDxfId="197"/>
    <tableColumn id="2" xr3:uid="{21B2B284-49E5-4D08-B469-6BDDFD4AFEAD}" name="Topic" dataDxfId="196">
      <calculatedColumnFormula>LOOKUP($A193,$X:$X,Y:Y)</calculatedColumnFormula>
    </tableColumn>
    <tableColumn id="3" xr3:uid="{69BD301B-4A14-43B7-ABF4-8488D0298BCD}" name="Approval #" dataDxfId="195">
      <calculatedColumnFormula>LOOKUP($A193,$X:$X,Z:Z)</calculatedColumnFormula>
    </tableColumn>
    <tableColumn id="4" xr3:uid="{B39D528B-EE1D-4A21-BCF8-E08C263E8D9E}" name="Max" dataDxfId="194">
      <calculatedColumnFormula>LOOKUP($A193,$X:$X,AA:AA)</calculatedColumnFormula>
    </tableColumn>
    <tableColumn id="5" xr3:uid="{9B37E5B2-AFCE-4D0D-9670-0C66E83543C0}" name="W" dataDxfId="193">
      <calculatedColumnFormula>LOOKUP($A193,$X:$X,AB:AB)</calculatedColumnFormula>
    </tableColumn>
    <tableColumn id="6" xr3:uid="{0A8FE1A4-500D-44A2-AD6C-342C1DD7E685}" name="WW" dataDxfId="192">
      <calculatedColumnFormula>LOOKUP($A193,$X:$X,AC:AC)</calculatedColumnFormula>
    </tableColumn>
    <tableColumn id="7" xr3:uid="{1CC0C4C1-4628-49F9-A4B7-937EAB27C314}" name="I" dataDxfId="191">
      <calculatedColumnFormula>LOOKUP($A193,$X:$X,AD:AD)</calculatedColumnFormula>
    </tableColumn>
    <tableColumn id="8" xr3:uid="{EA81BE43-FAD9-459E-87A4-4CEC15215F69}" name="D" dataDxfId="190">
      <calculatedColumnFormula>LOOKUP($A193,$X:$X,AE:AE)</calculatedColumnFormula>
    </tableColumn>
    <tableColumn id="9" xr3:uid="{71B3EB0A-6C11-45F9-AADE-74F6D6175A03}" name="C" dataDxfId="189">
      <calculatedColumnFormula>LOOKUP($A193,$X:$X,AF:AF)</calculatedColumnFormula>
    </tableColumn>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289ECA79-8B9F-4975-857D-96A54AB7EA4B}" name="Table39101218212628" displayName="Table39101218212628" ref="A210:I219" totalsRowShown="0" headerRowDxfId="188" dataDxfId="187">
  <autoFilter ref="A210:I219" xr:uid="{289ECA79-8B9F-4975-857D-96A54AB7EA4B}"/>
  <tableColumns count="9">
    <tableColumn id="1" xr3:uid="{61D18938-520E-470F-A64A-82DE91C6D50D}" name="Course ID" dataDxfId="186"/>
    <tableColumn id="2" xr3:uid="{2B6575E7-520F-41D7-9D9E-DD1A3EFBA9A5}" name="Topic" dataDxfId="185">
      <calculatedColumnFormula>LOOKUP($A211,$X:$X,Y:Y)</calculatedColumnFormula>
    </tableColumn>
    <tableColumn id="3" xr3:uid="{E79F3454-AB18-4988-83E4-7B3F13C8A7E3}" name="Approval #" dataDxfId="184">
      <calculatedColumnFormula>LOOKUP($A211,$X:$X,Z:Z)</calculatedColumnFormula>
    </tableColumn>
    <tableColumn id="4" xr3:uid="{38BD7E53-9EF9-4173-8DAF-83A41D7BECBB}" name="Max" dataDxfId="183">
      <calculatedColumnFormula>LOOKUP($A211,$X:$X,AA:AA)</calculatedColumnFormula>
    </tableColumn>
    <tableColumn id="5" xr3:uid="{3A215942-DD51-47AD-8EBC-7CE62E4A2E10}" name="W" dataDxfId="182">
      <calculatedColumnFormula>LOOKUP($A211,$X:$X,AB:AB)</calculatedColumnFormula>
    </tableColumn>
    <tableColumn id="6" xr3:uid="{9BC7BCB9-1E73-4893-91F2-47030C4FFA20}" name="WW" dataDxfId="181">
      <calculatedColumnFormula>LOOKUP($A211,$X:$X,AC:AC)</calculatedColumnFormula>
    </tableColumn>
    <tableColumn id="7" xr3:uid="{656D87EA-EAA1-415A-9A88-AA0CDCA0ACE2}" name="I" dataDxfId="180">
      <calculatedColumnFormula>LOOKUP($A211,$X:$X,AD:AD)</calculatedColumnFormula>
    </tableColumn>
    <tableColumn id="8" xr3:uid="{AD73D848-A348-499D-82A7-C56B4EAEA2C7}" name="D" dataDxfId="179">
      <calculatedColumnFormula>LOOKUP($A211,$X:$X,AE:AE)</calculatedColumnFormula>
    </tableColumn>
    <tableColumn id="9" xr3:uid="{26F2A489-135D-4998-94AF-EFD707E3ABE9}" name="C" dataDxfId="178">
      <calculatedColumnFormula>LOOKUP($A211,$X:$X,AF:AF)</calculatedColumnFormula>
    </tableColumn>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3D0211FC-D1D8-4820-85B7-62D57FCE637D}" name="Table3910121821262829" displayName="Table3910121821262829" ref="A223:I229" totalsRowShown="0" headerRowDxfId="177" dataDxfId="176">
  <autoFilter ref="A223:I229" xr:uid="{3D0211FC-D1D8-4820-85B7-62D57FCE637D}"/>
  <tableColumns count="9">
    <tableColumn id="1" xr3:uid="{7273F4D1-5CD4-4CEE-B376-5572F2115B16}" name="Course ID" dataDxfId="175"/>
    <tableColumn id="2" xr3:uid="{B9CC5CA6-8989-4819-9160-2A79AB094800}" name="Topic" dataDxfId="174">
      <calculatedColumnFormula>LOOKUP($A224,$X:$X,Y:Y)</calculatedColumnFormula>
    </tableColumn>
    <tableColumn id="3" xr3:uid="{C1A34BCB-FC48-4B27-9521-855CCAB97AF8}" name="Approval #" dataDxfId="173">
      <calculatedColumnFormula>LOOKUP($A224,$X:$X,Z:Z)</calculatedColumnFormula>
    </tableColumn>
    <tableColumn id="4" xr3:uid="{73BFF588-C19C-4B4D-937C-1DF57CFC209B}" name="Max" dataDxfId="172">
      <calculatedColumnFormula>LOOKUP($A224,$X:$X,AA:AA)</calculatedColumnFormula>
    </tableColumn>
    <tableColumn id="5" xr3:uid="{6098F85D-4423-4572-9EEE-5E93452EBCF2}" name="W" dataDxfId="171">
      <calculatedColumnFormula>LOOKUP($A224,$X:$X,AB:AB)</calculatedColumnFormula>
    </tableColumn>
    <tableColumn id="6" xr3:uid="{2F720474-6BE7-4558-A122-BA1635BF45F6}" name="WW" dataDxfId="170">
      <calculatedColumnFormula>LOOKUP($A224,$X:$X,AC:AC)</calculatedColumnFormula>
    </tableColumn>
    <tableColumn id="7" xr3:uid="{ABF1FD83-528B-4DF6-88A0-34A20DC7CAC1}" name="I" dataDxfId="169">
      <calculatedColumnFormula>LOOKUP($A224,$X:$X,AD:AD)</calculatedColumnFormula>
    </tableColumn>
    <tableColumn id="8" xr3:uid="{D32723FE-5EDD-4F96-8407-C6348BE04323}" name="D" dataDxfId="168">
      <calculatedColumnFormula>LOOKUP($A224,$X:$X,AE:AE)</calculatedColumnFormula>
    </tableColumn>
    <tableColumn id="9" xr3:uid="{CED8B237-EE9E-4695-9325-7A1B1B923000}" name="C" dataDxfId="167">
      <calculatedColumnFormula>LOOKUP($A224,$X:$X,AF:AF)</calculatedColumnFormula>
    </tableColumn>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ADFA66EB-D0B0-488C-9AC8-B090435E5404}" name="Table39101218212631" displayName="Table39101218212631" ref="A233:I239" totalsRowShown="0" headerRowDxfId="166" dataDxfId="165">
  <autoFilter ref="A233:I239" xr:uid="{ADFA66EB-D0B0-488C-9AC8-B090435E5404}"/>
  <tableColumns count="9">
    <tableColumn id="1" xr3:uid="{8205D64B-2491-4BFF-AF52-3C0BFF91E465}" name="Course ID" dataDxfId="164"/>
    <tableColumn id="2" xr3:uid="{929EAA8D-8390-40F1-B123-28E3FD13E361}" name="Topic" dataDxfId="163">
      <calculatedColumnFormula>LOOKUP($A234,$X:$X,Y:Y)</calculatedColumnFormula>
    </tableColumn>
    <tableColumn id="3" xr3:uid="{0254AF8A-0297-457D-8707-976BF9F31169}" name="Approval #" dataDxfId="162">
      <calculatedColumnFormula>LOOKUP($A234,$X:$X,Z:Z)</calculatedColumnFormula>
    </tableColumn>
    <tableColumn id="4" xr3:uid="{99313466-A117-48B5-9565-DA5EF3C0D1FD}" name="Max" dataDxfId="161">
      <calculatedColumnFormula>LOOKUP($A234,$X:$X,AA:AA)</calculatedColumnFormula>
    </tableColumn>
    <tableColumn id="5" xr3:uid="{153AC284-5934-49EC-8363-9B4C5007BA8C}" name="W" dataDxfId="160">
      <calculatedColumnFormula>LOOKUP($A234,$X:$X,AB:AB)</calculatedColumnFormula>
    </tableColumn>
    <tableColumn id="6" xr3:uid="{597E23F2-ED0F-4E07-A917-90E2BE2F5D11}" name="WW" dataDxfId="159">
      <calculatedColumnFormula>LOOKUP($A234,$X:$X,AC:AC)</calculatedColumnFormula>
    </tableColumn>
    <tableColumn id="7" xr3:uid="{358FD123-BFE2-4F33-B9CA-5DFEBDD8C7FC}" name="I" dataDxfId="158">
      <calculatedColumnFormula>LOOKUP($A234,$X:$X,AD:AD)</calculatedColumnFormula>
    </tableColumn>
    <tableColumn id="8" xr3:uid="{64050F7D-845A-4D47-A35B-769A550699BB}" name="D" dataDxfId="157">
      <calculatedColumnFormula>LOOKUP($A234,$X:$X,AE:AE)</calculatedColumnFormula>
    </tableColumn>
    <tableColumn id="9" xr3:uid="{625AE803-B8C6-4340-9189-9A86D764D18A}" name="C" dataDxfId="156">
      <calculatedColumnFormula>LOOKUP($A234,$X:$X,AF:AF)</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32D275E-9DDE-4AE7-948E-8AAFDEDA79AF}" name="Table4" displayName="Table4" ref="X1:AF93" totalsRowShown="0" headerRowDxfId="356" dataDxfId="354" headerRowBorderDxfId="355" tableBorderDxfId="353" totalsRowBorderDxfId="352">
  <autoFilter ref="X1:AF93" xr:uid="{C32D275E-9DDE-4AE7-948E-8AAFDEDA79AF}"/>
  <tableColumns count="9">
    <tableColumn id="1" xr3:uid="{30E529BE-8E1A-4D79-8567-8F1504B5A49E}" name="Course ID" dataDxfId="351"/>
    <tableColumn id="2" xr3:uid="{36FF6148-D28A-47A7-9A41-F7E659BB5E78}" name="Topic" dataDxfId="350"/>
    <tableColumn id="3" xr3:uid="{8B0DCE68-1AA7-4293-A04A-0DD1CD3E1181}" name="Approval" dataDxfId="349"/>
    <tableColumn id="4" xr3:uid="{B3519329-F5C3-4EBA-8046-8ED953BF88EB}" name="Max" dataDxfId="348"/>
    <tableColumn id="5" xr3:uid="{0CB92596-F569-4F5C-96C2-DB830D8695C4}" name="W" dataDxfId="347"/>
    <tableColumn id="6" xr3:uid="{85D7B941-3A9F-46C2-B94E-09C6D6892FA9}" name="WW" dataDxfId="346"/>
    <tableColumn id="7" xr3:uid="{5501ABAC-9BE8-4C75-BC96-697E5D3B376B}" name="I" dataDxfId="345"/>
    <tableColumn id="8" xr3:uid="{7491BADF-9132-495C-9124-56C72E162654}" name="D" dataDxfId="344"/>
    <tableColumn id="9" xr3:uid="{74EA7F53-3171-4AB0-94F3-FCFA953E66F0}" name="C" dataDxfId="343"/>
  </tableColumns>
  <tableStyleInfo name="TableStyleLight16"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340D4E16-6B73-45C6-B567-AAEC46BB464E}" name="Table3910121821263133" displayName="Table3910121821263133" ref="A243:I254" totalsRowShown="0" headerRowDxfId="155" dataDxfId="154">
  <autoFilter ref="A243:I254" xr:uid="{340D4E16-6B73-45C6-B567-AAEC46BB464E}"/>
  <tableColumns count="9">
    <tableColumn id="1" xr3:uid="{DBA4661D-C8F6-4B1A-895D-0C375872F9AE}" name="Course ID" dataDxfId="153"/>
    <tableColumn id="2" xr3:uid="{483F9B12-5CAE-403B-94A1-4976716C20A0}" name="Topic" dataDxfId="152">
      <calculatedColumnFormula>LOOKUP($A244,$X:$X,Y:Y)</calculatedColumnFormula>
    </tableColumn>
    <tableColumn id="3" xr3:uid="{349AA62C-24F9-43E5-AABA-1AFF21A921BA}" name="Approval #" dataDxfId="151">
      <calculatedColumnFormula>LOOKUP($A244,$X:$X,Z:Z)</calculatedColumnFormula>
    </tableColumn>
    <tableColumn id="4" xr3:uid="{BB2126A4-31E6-4857-A622-E4D217207B35}" name="Max" dataDxfId="150">
      <calculatedColumnFormula>LOOKUP($A244,$X:$X,AA:AA)</calculatedColumnFormula>
    </tableColumn>
    <tableColumn id="5" xr3:uid="{F8F0D74F-C2EB-41CA-867E-6B0E9012ABD7}" name="W" dataDxfId="149">
      <calculatedColumnFormula>LOOKUP($A244,$X:$X,AB:AB)</calculatedColumnFormula>
    </tableColumn>
    <tableColumn id="6" xr3:uid="{54D6749C-FE1A-4C77-BB45-2E56D8902FBF}" name="WW" dataDxfId="148">
      <calculatedColumnFormula>LOOKUP($A244,$X:$X,AC:AC)</calculatedColumnFormula>
    </tableColumn>
    <tableColumn id="7" xr3:uid="{FE7721F1-F1FB-4762-8967-31C6BB007058}" name="I" dataDxfId="147">
      <calculatedColumnFormula>LOOKUP($A244,$X:$X,AD:AD)</calculatedColumnFormula>
    </tableColumn>
    <tableColumn id="8" xr3:uid="{27466A1A-1E82-4628-86C7-696E70F2FD36}" name="D" dataDxfId="146">
      <calculatedColumnFormula>LOOKUP($A244,$X:$X,AE:AE)</calculatedColumnFormula>
    </tableColumn>
    <tableColumn id="9" xr3:uid="{D17F68AF-3B45-4528-90BC-1F7A25294115}" name="C" dataDxfId="145">
      <calculatedColumnFormula>LOOKUP($A244,$X:$X,AF:AF)</calculatedColumnFormula>
    </tableColumn>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2761B441-218F-437A-8211-E5994C354D25}" name="Table391012182126313334" displayName="Table391012182126313334" ref="A258:I272" totalsRowShown="0" headerRowDxfId="144" dataDxfId="143">
  <autoFilter ref="A258:I272" xr:uid="{2761B441-218F-437A-8211-E5994C354D25}"/>
  <tableColumns count="9">
    <tableColumn id="1" xr3:uid="{9F750DD7-AC9A-4904-A91D-82BCA59DCC1E}" name="Course ID" dataDxfId="142"/>
    <tableColumn id="2" xr3:uid="{62EC5A65-B75E-4D8E-B829-86234593BC28}" name="Topic" dataDxfId="141">
      <calculatedColumnFormula>LOOKUP($A259,$X:$X,Y:Y)</calculatedColumnFormula>
    </tableColumn>
    <tableColumn id="3" xr3:uid="{B25EFC3F-0628-4D85-B50B-93F4B6A0BD43}" name="Approval #" dataDxfId="140">
      <calculatedColumnFormula>LOOKUP($A259,$X:$X,Z:Z)</calculatedColumnFormula>
    </tableColumn>
    <tableColumn id="4" xr3:uid="{A1492B57-539C-401B-8109-FA957AD960B8}" name="Max" dataDxfId="139">
      <calculatedColumnFormula>LOOKUP($A259,$X:$X,AA:AA)</calculatedColumnFormula>
    </tableColumn>
    <tableColumn id="5" xr3:uid="{2FE72AFD-1862-4994-84BF-CE57FF34B253}" name="W" dataDxfId="138">
      <calculatedColumnFormula>LOOKUP($A259,$X:$X,AB:AB)</calculatedColumnFormula>
    </tableColumn>
    <tableColumn id="6" xr3:uid="{E87CFCF8-11F1-46B5-826D-B0A7FF2040EF}" name="WW" dataDxfId="137">
      <calculatedColumnFormula>LOOKUP($A259,$X:$X,AC:AC)</calculatedColumnFormula>
    </tableColumn>
    <tableColumn id="7" xr3:uid="{4D611295-C275-4783-A6EC-7273E9F1DDC8}" name="I" dataDxfId="136">
      <calculatedColumnFormula>LOOKUP($A259,$X:$X,AD:AD)</calculatedColumnFormula>
    </tableColumn>
    <tableColumn id="8" xr3:uid="{29914FD7-E07E-4CEF-863D-B45ECDED972A}" name="D" dataDxfId="135">
      <calculatedColumnFormula>LOOKUP($A259,$X:$X,AE:AE)</calculatedColumnFormula>
    </tableColumn>
    <tableColumn id="9" xr3:uid="{1137C4AB-BBE7-49EB-924C-0E2C59072AA2}" name="C" dataDxfId="134">
      <calculatedColumnFormula>LOOKUP($A259,$X:$X,AF:AF)</calculatedColumnFormula>
    </tableColumn>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9DCFF6FA-AF5A-424E-96B6-D317126603FC}" name="Table391012182126313335" displayName="Table391012182126313335" ref="A276:I293" totalsRowShown="0" headerRowDxfId="133" dataDxfId="132">
  <autoFilter ref="A276:I293" xr:uid="{9DCFF6FA-AF5A-424E-96B6-D317126603FC}"/>
  <tableColumns count="9">
    <tableColumn id="1" xr3:uid="{1A0A75D2-5AE2-4648-860B-00DB902D25B1}" name="Course ID" dataDxfId="131"/>
    <tableColumn id="2" xr3:uid="{500E3B79-9D1C-4CF1-BE59-91D8681C15E1}" name="Topic" dataDxfId="130">
      <calculatedColumnFormula>LOOKUP($A277,$X:$X,Y:Y)</calculatedColumnFormula>
    </tableColumn>
    <tableColumn id="3" xr3:uid="{EF9F4432-6E96-4259-8A09-391FAC7B16AD}" name="Approval #" dataDxfId="129">
      <calculatedColumnFormula>LOOKUP($A277,$X:$X,Z:Z)</calculatedColumnFormula>
    </tableColumn>
    <tableColumn id="4" xr3:uid="{B0BF077C-C25E-430D-BD1E-B8506B928AE4}" name="Max" dataDxfId="128">
      <calculatedColumnFormula>LOOKUP($A277,$X:$X,AA:AA)</calculatedColumnFormula>
    </tableColumn>
    <tableColumn id="5" xr3:uid="{825E99BF-A7C2-4F43-AA06-F068312685C6}" name="W" dataDxfId="127">
      <calculatedColumnFormula>LOOKUP($A277,$X:$X,AB:AB)</calculatedColumnFormula>
    </tableColumn>
    <tableColumn id="6" xr3:uid="{B0E2B52C-BDA1-40D7-9271-BEE6BADC7E10}" name="WW" dataDxfId="126">
      <calculatedColumnFormula>LOOKUP($A277,$X:$X,AC:AC)</calculatedColumnFormula>
    </tableColumn>
    <tableColumn id="7" xr3:uid="{E0DA58B9-2654-4CA6-8B3B-22CE757A75A8}" name="I" dataDxfId="125">
      <calculatedColumnFormula>LOOKUP($A277,$X:$X,AD:AD)</calculatedColumnFormula>
    </tableColumn>
    <tableColumn id="8" xr3:uid="{C34473BE-708C-415E-860D-31AA55E9C72B}" name="D" dataDxfId="124">
      <calculatedColumnFormula>LOOKUP($A277,$X:$X,AE:AE)</calculatedColumnFormula>
    </tableColumn>
    <tableColumn id="9" xr3:uid="{3ADED974-9011-46A0-8E3B-069C3A0FE87F}" name="C" dataDxfId="123">
      <calculatedColumnFormula>LOOKUP($A277,$X:$X,AF:AF)</calculatedColumnFormula>
    </tableColumn>
  </tableColumns>
  <tableStyleInfo name="TableStyleMedium2"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98F450FD-A47C-4372-B09A-7F0A0FC896EA}" name="Table39101218212631333536" displayName="Table39101218212631333536" ref="A297:I304" totalsRowShown="0" headerRowDxfId="122" dataDxfId="121">
  <autoFilter ref="A297:I304" xr:uid="{98F450FD-A47C-4372-B09A-7F0A0FC896EA}"/>
  <tableColumns count="9">
    <tableColumn id="1" xr3:uid="{39E6AE3C-D691-4CFF-B3BA-C5E795E1BF07}" name="Course ID" dataDxfId="120"/>
    <tableColumn id="2" xr3:uid="{9A2DDBD0-5916-4687-86EC-3F4B83D0997C}" name="Topic" dataDxfId="119">
      <calculatedColumnFormula>LOOKUP($A298,$X:$X,Y:Y)</calculatedColumnFormula>
    </tableColumn>
    <tableColumn id="3" xr3:uid="{2D2EFDDF-8D87-445F-AAF0-A0ABCABCEFE2}" name="Approval #" dataDxfId="118">
      <calculatedColumnFormula>LOOKUP($A298,$X:$X,Z:Z)</calculatedColumnFormula>
    </tableColumn>
    <tableColumn id="4" xr3:uid="{1F9A775C-7AE5-4671-AD40-9072D0CC638F}" name="Max" dataDxfId="117">
      <calculatedColumnFormula>LOOKUP($A298,$X:$X,AA:AA)</calculatedColumnFormula>
    </tableColumn>
    <tableColumn id="5" xr3:uid="{FF66DBFD-4873-4D38-B89A-88327665BBF9}" name="W" dataDxfId="116">
      <calculatedColumnFormula>LOOKUP($A298,$X:$X,AB:AB)</calculatedColumnFormula>
    </tableColumn>
    <tableColumn id="6" xr3:uid="{9C63A57D-EAED-4279-BB47-FE79EBA85FAD}" name="WW" dataDxfId="115">
      <calculatedColumnFormula>LOOKUP($A298,$X:$X,AC:AC)</calculatedColumnFormula>
    </tableColumn>
    <tableColumn id="7" xr3:uid="{5CAF6AB9-1C77-4A43-AA0B-312DCD7C9396}" name="I" dataDxfId="114">
      <calculatedColumnFormula>LOOKUP($A298,$X:$X,AD:AD)</calculatedColumnFormula>
    </tableColumn>
    <tableColumn id="8" xr3:uid="{F94CD00A-280B-4C35-9E8A-136D96C9FED1}" name="D" dataDxfId="113">
      <calculatedColumnFormula>LOOKUP($A298,$X:$X,AE:AE)</calculatedColumnFormula>
    </tableColumn>
    <tableColumn id="9" xr3:uid="{F4C86939-68F7-46CF-B7E6-EEAA54595D40}" name="C" dataDxfId="112">
      <calculatedColumnFormula>LOOKUP($A298,$X:$X,AF:AF)</calculatedColumnFormula>
    </tableColumn>
  </tableColumns>
  <tableStyleInfo name="TableStyleMedium2"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3F8F8C98-28FE-4E01-86F9-48D0D8E93122}" name="Table3910121821263133353638" displayName="Table3910121821263133353638" ref="A308:I318" totalsRowShown="0" headerRowDxfId="111" dataDxfId="110">
  <autoFilter ref="A308:I318" xr:uid="{3F8F8C98-28FE-4E01-86F9-48D0D8E93122}"/>
  <tableColumns count="9">
    <tableColumn id="1" xr3:uid="{3DEC6C01-E351-471E-A76C-1958060F41FE}" name="Course ID" dataDxfId="109"/>
    <tableColumn id="2" xr3:uid="{FB3FB6C7-D1CD-41BC-9436-98B6C7A17098}" name="Topic" dataDxfId="108">
      <calculatedColumnFormula>LOOKUP($A309,$X:$X,Y:Y)</calculatedColumnFormula>
    </tableColumn>
    <tableColumn id="3" xr3:uid="{2D72FE27-0B7D-44C2-ABB6-08A047569F32}" name="Approval #" dataDxfId="107">
      <calculatedColumnFormula>LOOKUP($A309,$X:$X,Z:Z)</calculatedColumnFormula>
    </tableColumn>
    <tableColumn id="4" xr3:uid="{12137945-BF0B-480C-98A8-9BD38AA6CCDC}" name="Max" dataDxfId="106">
      <calculatedColumnFormula>LOOKUP($A309,$X:$X,AA:AA)</calculatedColumnFormula>
    </tableColumn>
    <tableColumn id="5" xr3:uid="{635BBDD9-3AC8-42CB-8E4D-0564C3D46180}" name="W" dataDxfId="105">
      <calculatedColumnFormula>LOOKUP($A309,$X:$X,AB:AB)</calculatedColumnFormula>
    </tableColumn>
    <tableColumn id="6" xr3:uid="{97820791-157B-4A74-B767-294F53A45C34}" name="WW" dataDxfId="104">
      <calculatedColumnFormula>LOOKUP($A309,$X:$X,AC:AC)</calculatedColumnFormula>
    </tableColumn>
    <tableColumn id="7" xr3:uid="{239B80C2-F2D1-4D12-AAC8-4CEB3108CAC0}" name="I" dataDxfId="103">
      <calculatedColumnFormula>LOOKUP($A309,$X:$X,AD:AD)</calculatedColumnFormula>
    </tableColumn>
    <tableColumn id="8" xr3:uid="{2CD38D67-8A2D-4CD5-BC0B-F827E96E203A}" name="D" dataDxfId="102">
      <calculatedColumnFormula>LOOKUP($A309,$X:$X,AE:AE)</calculatedColumnFormula>
    </tableColumn>
    <tableColumn id="9" xr3:uid="{9F1845A3-10C6-45ED-9F30-2F7ABE3FC51D}" name="C" dataDxfId="101">
      <calculatedColumnFormula>LOOKUP($A309,$X:$X,AF:AF)</calculatedColumnFormula>
    </tableColumn>
  </tableColumns>
  <tableStyleInfo name="TableStyleMedium2"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F428F37B-BE7B-4AE1-883C-E2B11EBE9ACB}" name="Table3910121821263133353639" displayName="Table3910121821263133353639" ref="A322:I337" totalsRowShown="0" headerRowDxfId="100" dataDxfId="99">
  <autoFilter ref="A322:I337" xr:uid="{F428F37B-BE7B-4AE1-883C-E2B11EBE9ACB}"/>
  <tableColumns count="9">
    <tableColumn id="1" xr3:uid="{005637E8-5D55-411B-B669-A77F2C132327}" name="Course ID" dataDxfId="98"/>
    <tableColumn id="2" xr3:uid="{53700617-4DFD-4B50-8193-2BBDE93B7AFC}" name="Topic" dataDxfId="97">
      <calculatedColumnFormula>LOOKUP($A323,$X:$X,Y:Y)</calculatedColumnFormula>
    </tableColumn>
    <tableColumn id="3" xr3:uid="{71681A58-94FA-4579-8966-67CF00B5056A}" name="Approval #" dataDxfId="96">
      <calculatedColumnFormula>LOOKUP($A323,$X:$X,Z:Z)</calculatedColumnFormula>
    </tableColumn>
    <tableColumn id="4" xr3:uid="{42B518B6-BD8C-4817-8981-817D26FD2D96}" name="Max" dataDxfId="95">
      <calculatedColumnFormula>LOOKUP($A323,$X:$X,AA:AA)</calculatedColumnFormula>
    </tableColumn>
    <tableColumn id="5" xr3:uid="{5D3E764F-2EFD-4E11-8F1E-06A17199EAFF}" name="W" dataDxfId="94">
      <calculatedColumnFormula>LOOKUP($A323,$X:$X,AB:AB)</calculatedColumnFormula>
    </tableColumn>
    <tableColumn id="6" xr3:uid="{254C8EE4-9064-42C4-A1B4-8DB7776EB630}" name="WW" dataDxfId="93">
      <calculatedColumnFormula>LOOKUP($A323,$X:$X,AC:AC)</calculatedColumnFormula>
    </tableColumn>
    <tableColumn id="7" xr3:uid="{6D9D056F-A48B-43C7-98B5-7794EE2201BA}" name="I" dataDxfId="92">
      <calculatedColumnFormula>LOOKUP($A323,$X:$X,AD:AD)</calculatedColumnFormula>
    </tableColumn>
    <tableColumn id="8" xr3:uid="{CBA8CEB7-4D35-487C-ADA0-E873439AE35C}" name="D" dataDxfId="91">
      <calculatedColumnFormula>LOOKUP($A323,$X:$X,AE:AE)</calculatedColumnFormula>
    </tableColumn>
    <tableColumn id="9" xr3:uid="{70C29176-86DC-489E-BB9A-74B428EEF94F}" name="C" dataDxfId="90">
      <calculatedColumnFormula>LOOKUP($A323,$X:$X,AF:AF)</calculatedColumnFormula>
    </tableColumn>
  </tableColumns>
  <tableStyleInfo name="TableStyleMedium2"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57A1B056-B500-487E-A624-FE2DC7CA92ED}" name="Table3910121821263133353641" displayName="Table3910121821263133353641" ref="A341:I359" totalsRowShown="0" headerRowDxfId="89" dataDxfId="88">
  <autoFilter ref="A341:I359" xr:uid="{57A1B056-B500-487E-A624-FE2DC7CA92ED}"/>
  <tableColumns count="9">
    <tableColumn id="1" xr3:uid="{BD6A4633-DFAE-405E-BAD5-0BC74D03FB4D}" name="Course ID" dataDxfId="87"/>
    <tableColumn id="2" xr3:uid="{7B1335F1-D983-4EC2-86D2-6819C1F6509C}" name="Topic" dataDxfId="86">
      <calculatedColumnFormula>LOOKUP($A342,$X:$X,Y:Y)</calculatedColumnFormula>
    </tableColumn>
    <tableColumn id="3" xr3:uid="{0E3AEB9F-C28F-4078-A1FF-7D0FAF3FA75D}" name="Approval #" dataDxfId="85">
      <calculatedColumnFormula>LOOKUP($A342,$X:$X,Z:Z)</calculatedColumnFormula>
    </tableColumn>
    <tableColumn id="4" xr3:uid="{FA1E1354-2AE3-442F-8A21-6CBC5A9ECA87}" name="Max" dataDxfId="84">
      <calculatedColumnFormula>LOOKUP($A342,$X:$X,AA:AA)</calculatedColumnFormula>
    </tableColumn>
    <tableColumn id="5" xr3:uid="{B487A427-468E-4D10-B700-D2CBE79ABE61}" name="W" dataDxfId="83">
      <calculatedColumnFormula>LOOKUP($A342,$X:$X,AB:AB)</calculatedColumnFormula>
    </tableColumn>
    <tableColumn id="6" xr3:uid="{B66CD9DF-EBBF-4D69-AEF0-03B7146511F0}" name="WW" dataDxfId="82">
      <calculatedColumnFormula>LOOKUP($A342,$X:$X,AC:AC)</calculatedColumnFormula>
    </tableColumn>
    <tableColumn id="7" xr3:uid="{8D6F7B5A-3488-4DE4-8606-3B8F56257D2D}" name="I" dataDxfId="81">
      <calculatedColumnFormula>LOOKUP($A342,$X:$X,AD:AD)</calculatedColumnFormula>
    </tableColumn>
    <tableColumn id="8" xr3:uid="{AD285C00-4024-4959-9DBC-8B1C3F3B1951}" name="D" dataDxfId="80">
      <calculatedColumnFormula>LOOKUP($A342,$X:$X,AE:AE)</calculatedColumnFormula>
    </tableColumn>
    <tableColumn id="9" xr3:uid="{CBD27FE5-ECCA-451C-870A-C5A841FAB5C9}" name="C" dataDxfId="79">
      <calculatedColumnFormula>LOOKUP($A342,$X:$X,AF:AF)</calculatedColumnFormula>
    </tableColumn>
  </tableColumns>
  <tableStyleInfo name="TableStyleMedium2"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D1F803AE-D565-4D2F-9BDA-1E4FF7C5FF3C}" name="Table391012182126313335364142" displayName="Table391012182126313335364142" ref="A363:I369" totalsRowShown="0" headerRowDxfId="78" dataDxfId="77">
  <autoFilter ref="A363:I369" xr:uid="{D1F803AE-D565-4D2F-9BDA-1E4FF7C5FF3C}"/>
  <tableColumns count="9">
    <tableColumn id="1" xr3:uid="{1BA83908-F5A1-4CCC-8E3B-B6FB16E50CD0}" name="Course ID" dataDxfId="76"/>
    <tableColumn id="2" xr3:uid="{4599298B-C32A-46CA-9815-D745C5163FC1}" name="Topic" dataDxfId="75">
      <calculatedColumnFormula>LOOKUP($A364,$X:$X,Y:Y)</calculatedColumnFormula>
    </tableColumn>
    <tableColumn id="3" xr3:uid="{50CCE329-4517-4D42-BA54-8CA0608513D3}" name="Approval #" dataDxfId="74">
      <calculatedColumnFormula>LOOKUP($A364,$X:$X,Z:Z)</calculatedColumnFormula>
    </tableColumn>
    <tableColumn id="4" xr3:uid="{4E8308AB-55FF-4BC1-839D-BA52CB707249}" name="Max" dataDxfId="73">
      <calculatedColumnFormula>LOOKUP($A364,$X:$X,AA:AA)</calculatedColumnFormula>
    </tableColumn>
    <tableColumn id="5" xr3:uid="{6C4BA54E-3301-4B55-82DB-37C94216774E}" name="W" dataDxfId="72">
      <calculatedColumnFormula>LOOKUP($A364,$X:$X,AB:AB)</calculatedColumnFormula>
    </tableColumn>
    <tableColumn id="6" xr3:uid="{ACF205B5-36B2-4280-9A49-EA9DDEA71B7D}" name="WW" dataDxfId="71">
      <calculatedColumnFormula>LOOKUP($A364,$X:$X,AC:AC)</calculatedColumnFormula>
    </tableColumn>
    <tableColumn id="7" xr3:uid="{6DEDD912-1DE4-4B0F-924C-95EB759DA90D}" name="I" dataDxfId="70">
      <calculatedColumnFormula>LOOKUP($A364,$X:$X,AD:AD)</calculatedColumnFormula>
    </tableColumn>
    <tableColumn id="8" xr3:uid="{A9480C5D-3E6E-4C05-8DB2-7AA26DF0C54D}" name="D" dataDxfId="69">
      <calculatedColumnFormula>LOOKUP($A364,$X:$X,AE:AE)</calculatedColumnFormula>
    </tableColumn>
    <tableColumn id="9" xr3:uid="{A54D5458-F9B9-47D0-BE9B-591E5575F802}" name="C" dataDxfId="68">
      <calculatedColumnFormula>LOOKUP($A364,$X:$X,AF:AF)</calculatedColumnFormula>
    </tableColumn>
  </tableColumns>
  <tableStyleInfo name="TableStyleMedium2"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3072CD3-36D4-4249-BA2B-E3004225BDEF}" name="Table39101218212631333536414243" displayName="Table39101218212631333536414243" ref="A373:I382" totalsRowShown="0" headerRowDxfId="67" dataDxfId="66">
  <autoFilter ref="A373:I382" xr:uid="{03072CD3-36D4-4249-BA2B-E3004225BDEF}"/>
  <tableColumns count="9">
    <tableColumn id="1" xr3:uid="{49545C5B-B2EF-4E99-AA5A-B7B5FECD08D7}" name="Course ID" dataDxfId="65"/>
    <tableColumn id="2" xr3:uid="{3D0725DF-3F9A-4630-9F0D-2C410044A123}" name="Topic" dataDxfId="64">
      <calculatedColumnFormula>LOOKUP($A374,$X:$X,Y:Y)</calculatedColumnFormula>
    </tableColumn>
    <tableColumn id="3" xr3:uid="{9B345C0D-8501-4758-BA99-60E68788E906}" name="Approval #" dataDxfId="63">
      <calculatedColumnFormula>LOOKUP($A374,$X:$X,Z:Z)</calculatedColumnFormula>
    </tableColumn>
    <tableColumn id="4" xr3:uid="{F962C5A7-EAC7-4556-871D-54B3FB7F101B}" name="Max" dataDxfId="62">
      <calculatedColumnFormula>LOOKUP($A374,$X:$X,AA:AA)</calculatedColumnFormula>
    </tableColumn>
    <tableColumn id="5" xr3:uid="{E55F2CE9-7FEB-4467-9DAB-0136FAF7767D}" name="W" dataDxfId="61">
      <calculatedColumnFormula>LOOKUP($A374,$X:$X,AB:AB)</calculatedColumnFormula>
    </tableColumn>
    <tableColumn id="6" xr3:uid="{44D8F17D-0869-4360-A8FD-3CBF36055EB5}" name="WW" dataDxfId="60">
      <calculatedColumnFormula>LOOKUP($A374,$X:$X,AC:AC)</calculatedColumnFormula>
    </tableColumn>
    <tableColumn id="7" xr3:uid="{0CC01F0A-B207-443C-981A-00C6A44A7DFB}" name="I" dataDxfId="59">
      <calculatedColumnFormula>LOOKUP($A374,$X:$X,AD:AD)</calculatedColumnFormula>
    </tableColumn>
    <tableColumn id="8" xr3:uid="{B4673363-4AE2-4B4F-BEED-012BF64534F0}" name="D" dataDxfId="58">
      <calculatedColumnFormula>LOOKUP($A374,$X:$X,AE:AE)</calculatedColumnFormula>
    </tableColumn>
    <tableColumn id="9" xr3:uid="{35140CC5-0887-41FC-A89D-682132B94527}" name="C" dataDxfId="57">
      <calculatedColumnFormula>LOOKUP($A374,$X:$X,AF:AF)</calculatedColumnFormula>
    </tableColumn>
  </tableColumns>
  <tableStyleInfo name="TableStyleMedium2"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A1ABF5C2-29F6-487D-8983-8416C996EF03}" name="Table39101218212631333536414245" displayName="Table39101218212631333536414245" ref="A386:I399" totalsRowShown="0" headerRowDxfId="56" dataDxfId="55">
  <autoFilter ref="A386:I399" xr:uid="{A1ABF5C2-29F6-487D-8983-8416C996EF03}"/>
  <tableColumns count="9">
    <tableColumn id="1" xr3:uid="{E5D34E49-9E87-4539-8A7B-6F731246A515}" name="Course ID" dataDxfId="54"/>
    <tableColumn id="2" xr3:uid="{75FC6A01-F5A1-4992-AB78-1D0559D2FE7E}" name="Topic" dataDxfId="53">
      <calculatedColumnFormula>LOOKUP($A387,$X:$X,Y:Y)</calculatedColumnFormula>
    </tableColumn>
    <tableColumn id="3" xr3:uid="{843AEBA3-FFF4-452F-9726-6338647C33F2}" name="Approval #" dataDxfId="52">
      <calculatedColumnFormula>LOOKUP($A387,$X:$X,Z:Z)</calculatedColumnFormula>
    </tableColumn>
    <tableColumn id="4" xr3:uid="{21DC40A7-0FF9-4C84-B41E-E81F0E7B715F}" name="Max" dataDxfId="51">
      <calculatedColumnFormula>LOOKUP($A387,$X:$X,AA:AA)</calculatedColumnFormula>
    </tableColumn>
    <tableColumn id="5" xr3:uid="{14577585-2CD6-4C0C-8272-0A033FF699C9}" name="W" dataDxfId="50">
      <calculatedColumnFormula>LOOKUP($A387,$X:$X,AB:AB)</calculatedColumnFormula>
    </tableColumn>
    <tableColumn id="6" xr3:uid="{CFC56C76-EE60-41A1-B036-48D347CFF137}" name="WW" dataDxfId="49">
      <calculatedColumnFormula>LOOKUP($A387,$X:$X,AC:AC)</calculatedColumnFormula>
    </tableColumn>
    <tableColumn id="7" xr3:uid="{65EFCD8E-A867-4411-BC48-F0D498D3A12C}" name="I" dataDxfId="48">
      <calculatedColumnFormula>LOOKUP($A387,$X:$X,AD:AD)</calculatedColumnFormula>
    </tableColumn>
    <tableColumn id="8" xr3:uid="{6B4D43BA-56FD-4282-81AB-73BABEAAC958}" name="D" dataDxfId="47">
      <calculatedColumnFormula>LOOKUP($A387,$X:$X,AE:AE)</calculatedColumnFormula>
    </tableColumn>
    <tableColumn id="9" xr3:uid="{E4CCC6BF-4B73-4C73-9058-D6E70452C22B}" name="C" dataDxfId="46">
      <calculatedColumnFormula>LOOKUP($A387,$X:$X,AF:AF)</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17B0046C-981C-45C0-83DC-92979443B61F}" name="Table36" displayName="Table36" ref="A20:I25" totalsRowShown="0" headerRowDxfId="342" dataDxfId="341">
  <autoFilter ref="A20:I25" xr:uid="{17B0046C-981C-45C0-83DC-92979443B61F}"/>
  <tableColumns count="9">
    <tableColumn id="1" xr3:uid="{F9F01FA2-4D7B-462C-8227-E939AF4E4852}" name="Course ID" dataDxfId="340"/>
    <tableColumn id="2" xr3:uid="{9900EA1F-6B2A-462D-A650-71ECE0102390}" name="Topic" dataDxfId="339">
      <calculatedColumnFormula>LOOKUP($A21,$X:$X,Y:Y)</calculatedColumnFormula>
    </tableColumn>
    <tableColumn id="3" xr3:uid="{498994C9-F18A-4D04-A605-610B48A7ED61}" name="Approval #" dataDxfId="338">
      <calculatedColumnFormula>LOOKUP($A21,$X:$X,Z:Z)</calculatedColumnFormula>
    </tableColumn>
    <tableColumn id="4" xr3:uid="{CBA65202-4DB0-4B03-8A48-C3D2255A4D01}" name="Max" dataDxfId="337">
      <calculatedColumnFormula>LOOKUP($A21,$X:$X,AA:AA)</calculatedColumnFormula>
    </tableColumn>
    <tableColumn id="5" xr3:uid="{A1C8C706-D575-4F12-A8D5-7F41BEB2F7C8}" name="W" dataDxfId="336">
      <calculatedColumnFormula>LOOKUP($A21,$X:$X,AB:AB)</calculatedColumnFormula>
    </tableColumn>
    <tableColumn id="6" xr3:uid="{99F31756-0B7F-4267-A7E2-264F0BFAE113}" name="WW" dataDxfId="335">
      <calculatedColumnFormula>LOOKUP($A21,$X:$X,AC:AC)</calculatedColumnFormula>
    </tableColumn>
    <tableColumn id="7" xr3:uid="{6ED60CE8-59EE-408C-9278-2C8433B24DB7}" name="I" dataDxfId="334">
      <calculatedColumnFormula>LOOKUP($A21,$X:$X,AD:AD)</calculatedColumnFormula>
    </tableColumn>
    <tableColumn id="8" xr3:uid="{31DFE46D-69B2-4A1F-8AFF-A5541A3F3764}" name="D" dataDxfId="333">
      <calculatedColumnFormula>LOOKUP($A21,$X:$X,AE:AE)</calculatedColumnFormula>
    </tableColumn>
    <tableColumn id="9" xr3:uid="{EECB7F28-5F3D-4541-AFEA-7117859529B1}" name="C" dataDxfId="332">
      <calculatedColumnFormula>LOOKUP($A21,$X:$X,AF:AF)</calculatedColumnFormula>
    </tableColumn>
  </tableColumns>
  <tableStyleInfo name="TableStyleMedium2"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D1CE9A71-8D84-49A7-967F-E63365AFF28C}" name="Table39101218212631333536414246" displayName="Table39101218212631333536414246" ref="A403:I420" totalsRowShown="0" headerRowDxfId="45" dataDxfId="44">
  <autoFilter ref="A403:I420" xr:uid="{D1CE9A71-8D84-49A7-967F-E63365AFF28C}"/>
  <tableColumns count="9">
    <tableColumn id="1" xr3:uid="{C017F910-FA4F-4B9F-AA8A-D380A2385FAE}" name="Course ID" dataDxfId="43"/>
    <tableColumn id="2" xr3:uid="{53CD7260-E27A-4367-982B-AD714ED2B904}" name="Topic" dataDxfId="42">
      <calculatedColumnFormula>LOOKUP($A404,$X:$X,Y:Y)</calculatedColumnFormula>
    </tableColumn>
    <tableColumn id="3" xr3:uid="{E81D0B5D-802F-451C-A1D2-AD0CB9EBCD3C}" name="Approval #" dataDxfId="41">
      <calculatedColumnFormula>LOOKUP($A404,$X:$X,Z:Z)</calculatedColumnFormula>
    </tableColumn>
    <tableColumn id="4" xr3:uid="{CEA38942-D92F-4EBA-A8AB-8F838958F132}" name="Max" dataDxfId="40">
      <calculatedColumnFormula>LOOKUP($A404,$X:$X,AA:AA)</calculatedColumnFormula>
    </tableColumn>
    <tableColumn id="5" xr3:uid="{249B281F-3526-4A0D-A10B-320D7AAF612B}" name="W" dataDxfId="39">
      <calculatedColumnFormula>LOOKUP($A404,$X:$X,AB:AB)</calculatedColumnFormula>
    </tableColumn>
    <tableColumn id="6" xr3:uid="{8EEF8414-0AD6-4E9C-B549-AD446942BA91}" name="WW" dataDxfId="38">
      <calculatedColumnFormula>LOOKUP($A404,$X:$X,AC:AC)</calculatedColumnFormula>
    </tableColumn>
    <tableColumn id="7" xr3:uid="{F7BDE3D1-B2D6-4111-836A-1169B63699C0}" name="I" dataDxfId="37">
      <calculatedColumnFormula>LOOKUP($A404,$X:$X,AD:AD)</calculatedColumnFormula>
    </tableColumn>
    <tableColumn id="8" xr3:uid="{70BC5AC4-D5C5-4133-8FFA-5763C1C676C4}" name="D" dataDxfId="36">
      <calculatedColumnFormula>LOOKUP($A404,$X:$X,AE:AE)</calculatedColumnFormula>
    </tableColumn>
    <tableColumn id="9" xr3:uid="{199C84D7-5D99-47C4-BB0B-3FF1B9C5D21E}" name="C" dataDxfId="35">
      <calculatedColumnFormula>LOOKUP($A404,$X:$X,AF:AF)</calculatedColumnFormula>
    </tableColumn>
  </tableColumns>
  <tableStyleInfo name="TableStyleMedium2"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156D181-2829-492C-986F-D7FBF3D47A41}" name="Table2" displayName="Table2" ref="A3:J31" totalsRowShown="0" headerRowDxfId="34" dataDxfId="33">
  <autoFilter ref="A3:J31" xr:uid="{2156D181-2829-492C-986F-D7FBF3D47A41}"/>
  <tableColumns count="10">
    <tableColumn id="1" xr3:uid="{042505D6-9D70-421E-8080-272E2B8A6185}" name="Indigo ID Number" dataDxfId="32"/>
    <tableColumn id="2" xr3:uid="{E2A272D1-CB44-4ACE-BA10-5773EC981ED3}" name="Topic" dataDxfId="31">
      <calculatedColumnFormula>LOOKUP($A4,'Learning Paths'!$X:$X,'Learning Paths'!Y:Y)</calculatedColumnFormula>
    </tableColumn>
    <tableColumn id="3" xr3:uid="{0A44A8C3-612A-4BD6-B38F-E86B979EAB3F}" name="Existing Approval No." dataDxfId="30">
      <calculatedColumnFormula>LOOKUP($A4,'Learning Paths'!$X:$X,'Learning Paths'!Z:Z)</calculatedColumnFormula>
    </tableColumn>
    <tableColumn id="4" xr3:uid="{118BAFDC-BD01-4F7E-84E0-7AFBF7072BF6}" name="Portal Topic Used for TUs Calculation" dataDxfId="29">
      <calculatedColumnFormula>LOOKUP($A4,'Learning Paths'!$X:$X,'Learning Paths'!AA:AA)</calculatedColumnFormula>
    </tableColumn>
    <tableColumn id="5" xr3:uid="{07FC2EDE-19FF-4723-8767-6068063C2052}" name="Max TUs" dataDxfId="28">
      <calculatedColumnFormula>LOOKUP($A4,'Learning Paths'!$X:$X,'Learning Paths'!AA:AA)</calculatedColumnFormula>
    </tableColumn>
    <tableColumn id="6" xr3:uid="{C738415F-4943-4338-83D6-176557AA318E}" name="W" dataDxfId="27">
      <calculatedColumnFormula>LOOKUP($A4,'Learning Paths'!$X:$X,'Learning Paths'!AB:AB)</calculatedColumnFormula>
    </tableColumn>
    <tableColumn id="7" xr3:uid="{ED294760-F5FD-4A26-95AB-AABB832B89BB}" name="WW" dataDxfId="26">
      <calculatedColumnFormula>LOOKUP($A4,'Learning Paths'!$X:$X,'Learning Paths'!AC:AC)</calculatedColumnFormula>
    </tableColumn>
    <tableColumn id="8" xr3:uid="{E4C62855-9035-4F9B-BB59-8F05E2E788DD}" name="I" dataDxfId="25">
      <calculatedColumnFormula>LOOKUP($A4,'Learning Paths'!$X:$X,'Learning Paths'!AD:AD)</calculatedColumnFormula>
    </tableColumn>
    <tableColumn id="9" xr3:uid="{F2A81410-D085-4E73-A7F9-1D869DBF9781}" name="D" dataDxfId="24">
      <calculatedColumnFormula>LOOKUP($A4,'Learning Paths'!$X:$X,'Learning Paths'!AE:AE)</calculatedColumnFormula>
    </tableColumn>
    <tableColumn id="10" xr3:uid="{41F30341-41BA-417D-BF6C-430D3236028F}" name="C" dataDxfId="23">
      <calculatedColumnFormula>LOOKUP($A4,'Learning Paths'!$X:$X,'Learning Paths'!AF:AF)</calculatedColumnFormula>
    </tableColumn>
  </tableColumns>
  <tableStyleInfo name="TableStyleMedium2"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73E9B0A-F2CE-4DFD-90D1-EBD8136D075D}" name="Table1" displayName="Table1" ref="B3:K32" totalsRowCount="1" headerRowDxfId="22" dataDxfId="20" totalsRowDxfId="19" headerRowBorderDxfId="21">
  <autoFilter ref="B3:K31" xr:uid="{F73E9B0A-F2CE-4DFD-90D1-EBD8136D075D}"/>
  <tableColumns count="10">
    <tableColumn id="1" xr3:uid="{21A3CA62-3981-4B49-ACB6-AA71C1BE1BB6}" name="Indigo ID Number" dataDxfId="18"/>
    <tableColumn id="2" xr3:uid="{98072E4E-14E5-4515-B3A4-6165445EABAA}" name="Topic" dataDxfId="17" totalsRowDxfId="16">
      <calculatedColumnFormula>LOOKUP(Table1[[#This Row],[Indigo ID Number]],'Learning Paths'!$X:$X,'Learning Paths'!Y:Y)</calculatedColumnFormula>
    </tableColumn>
    <tableColumn id="3" xr3:uid="{9B62B876-D18F-4D9D-B425-E5F01F083E5C}" name="Existing Approval No." dataDxfId="15" totalsRowDxfId="14">
      <calculatedColumnFormula>LOOKUP(Table1[[#This Row],[Indigo ID Number]],'Learning Paths'!$X:$X,'Learning Paths'!Z:Z)</calculatedColumnFormula>
    </tableColumn>
    <tableColumn id="4" xr3:uid="{D414CEB0-A93C-479B-97E6-120E0D4C0D58}" name="Portal Topic Used for TUs Calculation" dataDxfId="13" totalsRowDxfId="12">
      <calculatedColumnFormula>LOOKUP(Table1[[#This Row],[Existing Approval No.]],'Learning Paths'!$X:$X,'Learning Paths'!AA:AA)</calculatedColumnFormula>
    </tableColumn>
    <tableColumn id="5" xr3:uid="{4CD96B27-E24C-4F92-8AF8-DB2E6985EF25}" name="Max TUs" dataDxfId="11" totalsRowDxfId="10">
      <calculatedColumnFormula>LOOKUP(Table1[[#This Row],[Indigo ID Number]],'Learning Paths'!$X:$X,'Learning Paths'!AA:AA)</calculatedColumnFormula>
    </tableColumn>
    <tableColumn id="6" xr3:uid="{BC69243A-548B-43B3-86BD-CDDA8E09FA75}" name="W" dataDxfId="9" totalsRowDxfId="8">
      <calculatedColumnFormula>LOOKUP(Table1[[#This Row],[Indigo ID Number]],'Learning Paths'!$X:$X,'Learning Paths'!AB:AB)</calculatedColumnFormula>
    </tableColumn>
    <tableColumn id="7" xr3:uid="{523A91C0-B781-4C4B-B822-D6C49B3F0432}" name="WW" dataDxfId="7" totalsRowDxfId="6">
      <calculatedColumnFormula>LOOKUP(Table1[[#This Row],[Indigo ID Number]],'Learning Paths'!$X:$X,'Learning Paths'!AC:AC)</calculatedColumnFormula>
    </tableColumn>
    <tableColumn id="8" xr3:uid="{DF657139-5756-4EBD-81D1-04D2C13DA930}" name="I" dataDxfId="5" totalsRowDxfId="4">
      <calculatedColumnFormula>LOOKUP(Table1[[#This Row],[Indigo ID Number]],'Learning Paths'!$X:$X,'Learning Paths'!AD:AD)</calculatedColumnFormula>
    </tableColumn>
    <tableColumn id="9" xr3:uid="{B554548D-49D9-4C4A-A62C-0AB44C2542DC}" name="D" dataDxfId="3" totalsRowDxfId="2">
      <calculatedColumnFormula>LOOKUP(Table1[[#This Row],[Indigo ID Number]],'Learning Paths'!$X:$X,'Learning Paths'!AE:AE)</calculatedColumnFormula>
    </tableColumn>
    <tableColumn id="10" xr3:uid="{0ECBA9AB-626B-4C0B-943F-D7E25D6056C0}" name="C" dataDxfId="1" totalsRowDxfId="0">
      <calculatedColumnFormula>LOOKUP(Table1[[#This Row],[Indigo ID Number]],'Learning Paths'!$X:$X,'Learning Paths'!AF:AF)</calculatedColumnFormula>
    </tableColumn>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3DD67DD-1B41-46EF-8DD9-E476B8EBEF57}" name="Table6" displayName="Table6" ref="A13:I16" totalsRowShown="0" headerRowDxfId="331" dataDxfId="330">
  <autoFilter ref="A13:I16" xr:uid="{63DD67DD-1B41-46EF-8DD9-E476B8EBEF57}"/>
  <tableColumns count="9">
    <tableColumn id="1" xr3:uid="{92EA7E3A-D39F-4147-85C8-1D87C9A486CC}" name="Course ID" dataDxfId="329"/>
    <tableColumn id="2" xr3:uid="{24CD1FD0-017A-41C3-865D-BBD43ACD1290}" name="Topic" dataDxfId="328">
      <calculatedColumnFormula>LOOKUP($A14,$X:$X,Y:Y)</calculatedColumnFormula>
    </tableColumn>
    <tableColumn id="3" xr3:uid="{3ACD5A65-D0EC-4F84-98F4-6EE3810409A2}" name="Approval #" dataDxfId="327">
      <calculatedColumnFormula>LOOKUP($A14,$X:$X,Z:Z)</calculatedColumnFormula>
    </tableColumn>
    <tableColumn id="4" xr3:uid="{E61F0B0C-D851-4ABD-B19D-FD16E8BD7B93}" name="Max" dataDxfId="326">
      <calculatedColumnFormula>LOOKUP($A14,$X:$X,AA:AA)</calculatedColumnFormula>
    </tableColumn>
    <tableColumn id="5" xr3:uid="{BDFA0226-C09C-44D4-89A8-6EB269A30F95}" name="W" dataDxfId="325">
      <calculatedColumnFormula>LOOKUP($A14,$X:$X,AB:AB)</calculatedColumnFormula>
    </tableColumn>
    <tableColumn id="6" xr3:uid="{A4552691-DE56-41BD-9A45-E04F4C9297AA}" name="WW" dataDxfId="324">
      <calculatedColumnFormula>LOOKUP($A14,$X:$X,AC:AC)</calculatedColumnFormula>
    </tableColumn>
    <tableColumn id="7" xr3:uid="{B3C4EFB4-F40E-4E4D-BC7E-E6A4E2A9742D}" name="I" dataDxfId="323">
      <calculatedColumnFormula>LOOKUP($A14,$X:$X,AD:AD)</calculatedColumnFormula>
    </tableColumn>
    <tableColumn id="8" xr3:uid="{610B4C83-0A0E-45D6-AF2F-8BF8C899317A}" name="D" dataDxfId="322">
      <calculatedColumnFormula>LOOKUP($A14,$X:$X,AE:AE)</calculatedColumnFormula>
    </tableColumn>
    <tableColumn id="9" xr3:uid="{D3F0E800-2387-469B-B616-C22834039E86}" name="C2" dataDxfId="321">
      <calculatedColumnFormula>LOOKUP($A14,$X:$X,AF:AF)</calculatedColumnFormula>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1C4CED34-8138-44BB-805F-E10F06D93661}" name="Table38" displayName="Table38" ref="A29:I35" totalsRowShown="0" headerRowDxfId="320" dataDxfId="319">
  <autoFilter ref="A29:I35" xr:uid="{1C4CED34-8138-44BB-805F-E10F06D93661}"/>
  <tableColumns count="9">
    <tableColumn id="1" xr3:uid="{0159A05A-6256-42AB-9E29-09C9064C4521}" name="Course ID" dataDxfId="318"/>
    <tableColumn id="2" xr3:uid="{9B4FE6E6-6810-418E-8A1C-43157E4762E3}" name="Topic" dataDxfId="317">
      <calculatedColumnFormula>LOOKUP($A30,$X:$X,Y:Y)</calculatedColumnFormula>
    </tableColumn>
    <tableColumn id="3" xr3:uid="{24CB2592-F25D-4B35-9492-D837C3503D93}" name="Approval #" dataDxfId="316">
      <calculatedColumnFormula>LOOKUP($A30,$X:$X,Z:Z)</calculatedColumnFormula>
    </tableColumn>
    <tableColumn id="4" xr3:uid="{7C4BF03C-9718-4CE3-A6EB-72DAC67FE812}" name="Max" dataDxfId="315">
      <calculatedColumnFormula>LOOKUP($A30,$X:$X,AA:AA)</calculatedColumnFormula>
    </tableColumn>
    <tableColumn id="5" xr3:uid="{3B6C4121-FB01-4547-B873-7B71BEA6956D}" name="W" dataDxfId="314">
      <calculatedColumnFormula>LOOKUP($A30,$X:$X,AB:AB)</calculatedColumnFormula>
    </tableColumn>
    <tableColumn id="6" xr3:uid="{A24E276B-6CFE-4950-93AB-E86CBEFF0C3E}" name="WW" dataDxfId="313">
      <calculatedColumnFormula>LOOKUP($A30,$X:$X,AC:AC)</calculatedColumnFormula>
    </tableColumn>
    <tableColumn id="7" xr3:uid="{B6059EB1-924D-4270-8F46-1DCDF470FB17}" name="I" dataDxfId="312">
      <calculatedColumnFormula>LOOKUP($A30,$X:$X,AD:AD)</calculatedColumnFormula>
    </tableColumn>
    <tableColumn id="8" xr3:uid="{5A69F2B4-C60D-4CB1-99CF-723738FE9784}" name="D" dataDxfId="311">
      <calculatedColumnFormula>LOOKUP($A30,$X:$X,AE:AE)</calculatedColumnFormula>
    </tableColumn>
    <tableColumn id="9" xr3:uid="{1026A147-5BBB-498F-AA64-2BD9465F487E}" name="C" dataDxfId="310">
      <calculatedColumnFormula>LOOKUP($A30,$X:$X,AF:AF)</calculatedColumnFormula>
    </tableColumn>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8DD6E83C-DC17-4E4D-B235-BD851365DD02}" name="Table39" displayName="Table39" ref="A39:I50" totalsRowShown="0" headerRowDxfId="309" dataDxfId="308">
  <autoFilter ref="A39:I50" xr:uid="{8DD6E83C-DC17-4E4D-B235-BD851365DD02}"/>
  <tableColumns count="9">
    <tableColumn id="1" xr3:uid="{66371F45-0BB3-4D95-A0AF-32F5CD7636FC}" name="Course ID" dataDxfId="307"/>
    <tableColumn id="2" xr3:uid="{AAD5EC05-9681-447B-A6B0-9696A054F2C2}" name="Topic" dataDxfId="306">
      <calculatedColumnFormula>LOOKUP($A40,$X:$X,Y:Y)</calculatedColumnFormula>
    </tableColumn>
    <tableColumn id="3" xr3:uid="{6AF081A3-0AC9-4752-A7C0-88BD54CEE9D6}" name="Approval #" dataDxfId="305">
      <calculatedColumnFormula>LOOKUP($A40,$X:$X,Z:Z)</calculatedColumnFormula>
    </tableColumn>
    <tableColumn id="4" xr3:uid="{01E0EF16-FD36-4C8D-91D8-56B492E68F27}" name="Max" dataDxfId="304">
      <calculatedColumnFormula>AA19</calculatedColumnFormula>
    </tableColumn>
    <tableColumn id="5" xr3:uid="{DA6AEA8B-7F42-487B-83CB-76D97239E38B}" name="W" dataDxfId="303">
      <calculatedColumnFormula>LOOKUP($A40,$X:$X,AB:AB)</calculatedColumnFormula>
    </tableColumn>
    <tableColumn id="6" xr3:uid="{80DC9B1F-D291-4147-A76F-2C2E2CF1E406}" name="WW" dataDxfId="302">
      <calculatedColumnFormula>LOOKUP($A40,$X:$X,AC:AC)</calculatedColumnFormula>
    </tableColumn>
    <tableColumn id="7" xr3:uid="{FA6B8BEE-5846-4A6E-ACFD-11CAACF0DC09}" name="I" dataDxfId="301">
      <calculatedColumnFormula>LOOKUP($A40,$X:$X,AD:AD)</calculatedColumnFormula>
    </tableColumn>
    <tableColumn id="8" xr3:uid="{1C7F9866-79CE-4A08-A06F-B4803B8D0DD3}" name="D" dataDxfId="300">
      <calculatedColumnFormula>LOOKUP($A40,$X:$X,AE:AE)</calculatedColumnFormula>
    </tableColumn>
    <tableColumn id="9" xr3:uid="{155EFFF7-3404-45B8-8E9E-F88246DA7641}" name="C" dataDxfId="299">
      <calculatedColumnFormula>LOOKUP($A40,$X:$X,AF:AF)</calculatedColumnFormula>
    </tableColumn>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F8A2FFE-486E-49B1-9155-F08529693E66}" name="Table3910" displayName="Table3910" ref="A54:I66" totalsRowShown="0" headerRowDxfId="298" dataDxfId="297">
  <autoFilter ref="A54:I66" xr:uid="{0F8A2FFE-486E-49B1-9155-F08529693E66}"/>
  <tableColumns count="9">
    <tableColumn id="1" xr3:uid="{E856EBE9-2007-4AE2-8027-C93FED0344DA}" name="Course ID" dataDxfId="296"/>
    <tableColumn id="2" xr3:uid="{5850D5EE-3D3A-41C6-9F99-11C1F0170F0A}" name="Topic" dataDxfId="295">
      <calculatedColumnFormula>LOOKUP($A55,$X:$X,Y:Y)</calculatedColumnFormula>
    </tableColumn>
    <tableColumn id="3" xr3:uid="{510F9677-CCEA-4EEB-9937-E17DDDFAA3A6}" name="Approval #" dataDxfId="294">
      <calculatedColumnFormula>LOOKUP($A55,$X:$X,Z:Z)</calculatedColumnFormula>
    </tableColumn>
    <tableColumn id="4" xr3:uid="{EA2B1884-900A-4D59-9EAA-37482A9C619E}" name="Max" dataDxfId="293">
      <calculatedColumnFormula>LOOKUP($A55,$X:$X,AA:AA)</calculatedColumnFormula>
    </tableColumn>
    <tableColumn id="5" xr3:uid="{C314420D-AD16-4077-96F0-80AAB04761B0}" name="W" dataDxfId="292">
      <calculatedColumnFormula>LOOKUP($A55,$X:$X,AB:AB)</calculatedColumnFormula>
    </tableColumn>
    <tableColumn id="6" xr3:uid="{6340620C-0AF4-49F3-A5B8-3593F92659F0}" name="WW" dataDxfId="291">
      <calculatedColumnFormula>LOOKUP($A55,$X:$X,AC:AC)</calculatedColumnFormula>
    </tableColumn>
    <tableColumn id="7" xr3:uid="{3485B8F2-1B0B-49D1-8BA2-BD72DA6AB022}" name="I" dataDxfId="290">
      <calculatedColumnFormula>LOOKUP($A55,$X:$X,AD:AD)</calculatedColumnFormula>
    </tableColumn>
    <tableColumn id="8" xr3:uid="{24662DDD-5A0E-4DDB-9AB8-359EFF89B491}" name="D" dataDxfId="289">
      <calculatedColumnFormula>LOOKUP($A55,$X:$X,AE:AE)</calculatedColumnFormula>
    </tableColumn>
    <tableColumn id="9" xr3:uid="{8D42EB80-E7D1-4325-BF8A-D9ED026E513A}" name="C" dataDxfId="288">
      <calculatedColumnFormula>LOOKUP($A55,$X:$X,AF:AF)</calculatedColumnFormula>
    </tableColumn>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43E8DC4-49C3-4330-945C-C4E96B2B9A21}" name="Table391012" displayName="Table391012" ref="A70:I76" totalsRowShown="0" headerRowDxfId="287" dataDxfId="286">
  <autoFilter ref="A70:I76" xr:uid="{443E8DC4-49C3-4330-945C-C4E96B2B9A21}"/>
  <tableColumns count="9">
    <tableColumn id="1" xr3:uid="{BC03BE16-F38C-43F8-8762-4CF7D565AFD8}" name="Course ID" dataDxfId="285"/>
    <tableColumn id="2" xr3:uid="{41C8BDCC-64B8-47C7-9A6D-474752B34425}" name="Topic" dataDxfId="284">
      <calculatedColumnFormula>LOOKUP($A71,$X:$X,Y:Y)</calculatedColumnFormula>
    </tableColumn>
    <tableColumn id="3" xr3:uid="{A313FB58-ED81-49DC-B5D0-523FEC614908}" name="Approval #" dataDxfId="283">
      <calculatedColumnFormula>LOOKUP($A71,$X:$X,Z:Z)</calculatedColumnFormula>
    </tableColumn>
    <tableColumn id="4" xr3:uid="{CC1ED235-26FA-4DE8-991F-FC1844370291}" name="Max" dataDxfId="282">
      <calculatedColumnFormula>LOOKUP($A71,$X:$X,AA:AA)</calculatedColumnFormula>
    </tableColumn>
    <tableColumn id="5" xr3:uid="{1C027CA0-B183-4D1B-8E6C-EDC7337F8A74}" name="W" dataDxfId="281">
      <calculatedColumnFormula>LOOKUP($A71,$X:$X,AB:AB)</calculatedColumnFormula>
    </tableColumn>
    <tableColumn id="6" xr3:uid="{B45ED670-6AC6-493B-AB36-FDA8CE68A288}" name="WW" dataDxfId="280">
      <calculatedColumnFormula>LOOKUP($A71,$X:$X,AC:AC)</calculatedColumnFormula>
    </tableColumn>
    <tableColumn id="7" xr3:uid="{B6CEA8AE-03D5-4F2F-956D-C59D475E69D8}" name="I" dataDxfId="279">
      <calculatedColumnFormula>LOOKUP($A71,$X:$X,AD:AD)</calculatedColumnFormula>
    </tableColumn>
    <tableColumn id="8" xr3:uid="{E730A044-F8F3-47F0-9713-4685B4E8DFEE}" name="D" dataDxfId="278">
      <calculatedColumnFormula>LOOKUP($A71,$X:$X,AE:AE)</calculatedColumnFormula>
    </tableColumn>
    <tableColumn id="9" xr3:uid="{8332E6FB-4F24-4DFE-8FAB-D27B24E98599}" name="C" dataDxfId="277">
      <calculatedColumnFormula>LOOKUP($A71,$X:$X,AF:AF)</calculatedColumnFormula>
    </tableColumn>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511A7996-BD9A-4741-B8EB-8911358F57A0}" name="Table39101216" displayName="Table39101216" ref="A80:I90" totalsRowShown="0" headerRowDxfId="276" dataDxfId="275">
  <autoFilter ref="A80:I90" xr:uid="{511A7996-BD9A-4741-B8EB-8911358F57A0}"/>
  <tableColumns count="9">
    <tableColumn id="1" xr3:uid="{2697285D-7F56-41A6-BA7E-2A1B0948F8E2}" name="Course ID" dataDxfId="274"/>
    <tableColumn id="2" xr3:uid="{C166AFBD-506A-48DE-8099-DFD9B2561A48}" name="Topic" dataDxfId="273">
      <calculatedColumnFormula>LOOKUP($A81,$X:$X,Y:Y)</calculatedColumnFormula>
    </tableColumn>
    <tableColumn id="3" xr3:uid="{E755F99C-31DD-4AB9-A0A7-3A876F339048}" name="Approval #" dataDxfId="272">
      <calculatedColumnFormula>LOOKUP($A81,$X:$X,Z:Z)</calculatedColumnFormula>
    </tableColumn>
    <tableColumn id="4" xr3:uid="{E49E5937-A960-4FE4-9320-DBD295DD3BFD}" name="Max" dataDxfId="271">
      <calculatedColumnFormula>LOOKUP($A81,$X:$X,AA:AA)</calculatedColumnFormula>
    </tableColumn>
    <tableColumn id="5" xr3:uid="{5CEDF588-6CDE-4DF8-9BAB-949F28B83A3B}" name="W" dataDxfId="270">
      <calculatedColumnFormula>LOOKUP($A81,$X:$X,AB:AB)</calculatedColumnFormula>
    </tableColumn>
    <tableColumn id="6" xr3:uid="{1674D773-5593-492F-91AC-F01E5FB7DFA0}" name="WW" dataDxfId="269">
      <calculatedColumnFormula>LOOKUP($A81,$X:$X,AC:AC)</calculatedColumnFormula>
    </tableColumn>
    <tableColumn id="7" xr3:uid="{318EEC2D-8BF8-44E3-8FC0-74EE604EFE1E}" name="I" dataDxfId="268">
      <calculatedColumnFormula>LOOKUP($A81,$X:$X,AD:AD)</calculatedColumnFormula>
    </tableColumn>
    <tableColumn id="8" xr3:uid="{2781C03E-2E92-49B4-AD03-7232690C9993}" name="D" dataDxfId="267">
      <calculatedColumnFormula>LOOKUP($A81,$X:$X,AE:AE)</calculatedColumnFormula>
    </tableColumn>
    <tableColumn id="9" xr3:uid="{8537322C-4460-4D15-809E-676FC93BD541}" name="C" dataDxfId="266">
      <calculatedColumnFormula>LOOKUP($A81,$X:$X,AF:AF)</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2" dT="2023-12-07T05:06:04.31" personId="{5E0FE5B2-07CF-4075-8F80-E37D8AD36B2E}" id="{35E68B00-6DDD-4610-A033-33CF23699861}">
    <text>Yellow cells need to be uploaded and managed in iSpring.  Also send to Denver Water</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 Type="http://schemas.openxmlformats.org/officeDocument/2006/relationships/table" Target="../tables/table2.xml"/><Relationship Id="rId21" Type="http://schemas.openxmlformats.org/officeDocument/2006/relationships/table" Target="../tables/table20.xml"/><Relationship Id="rId7" Type="http://schemas.openxmlformats.org/officeDocument/2006/relationships/table" Target="../tables/table6.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2" Type="http://schemas.openxmlformats.org/officeDocument/2006/relationships/table" Target="../tables/table1.xml"/><Relationship Id="rId16" Type="http://schemas.openxmlformats.org/officeDocument/2006/relationships/table" Target="../tables/table15.xml"/><Relationship Id="rId20" Type="http://schemas.openxmlformats.org/officeDocument/2006/relationships/table" Target="../tables/table19.xml"/><Relationship Id="rId29" Type="http://schemas.openxmlformats.org/officeDocument/2006/relationships/table" Target="../tables/table28.xml"/><Relationship Id="rId1" Type="http://schemas.openxmlformats.org/officeDocument/2006/relationships/printerSettings" Target="../printerSettings/printerSettings2.bin"/><Relationship Id="rId6" Type="http://schemas.openxmlformats.org/officeDocument/2006/relationships/table" Target="../tables/table5.xml"/><Relationship Id="rId11" Type="http://schemas.openxmlformats.org/officeDocument/2006/relationships/table" Target="../tables/table10.xml"/><Relationship Id="rId24" Type="http://schemas.openxmlformats.org/officeDocument/2006/relationships/table" Target="../tables/table23.xml"/><Relationship Id="rId5" Type="http://schemas.openxmlformats.org/officeDocument/2006/relationships/table" Target="../tables/table4.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L135"/>
  <sheetViews>
    <sheetView tabSelected="1" topLeftCell="A2" zoomScaleNormal="100" zoomScaleSheetLayoutView="100" workbookViewId="0">
      <selection activeCell="A5" sqref="A5"/>
    </sheetView>
  </sheetViews>
  <sheetFormatPr defaultColWidth="16.85546875" defaultRowHeight="12.75" x14ac:dyDescent="0.2"/>
  <cols>
    <col min="1" max="1" width="15.42578125" style="84" customWidth="1"/>
    <col min="2" max="2" width="14" style="11" customWidth="1"/>
    <col min="3" max="3" width="14" style="12" hidden="1" customWidth="1"/>
    <col min="4" max="4" width="48.7109375" style="92" customWidth="1"/>
    <col min="5" max="7" width="21.140625" style="90" hidden="1" customWidth="1"/>
    <col min="8" max="8" width="29.42578125" style="90" hidden="1" customWidth="1"/>
    <col min="9" max="9" width="21.140625" style="12" hidden="1" customWidth="1"/>
    <col min="10" max="11" width="51.85546875" style="90" hidden="1" customWidth="1"/>
    <col min="12" max="12" width="43.5703125" style="90" hidden="1" customWidth="1"/>
    <col min="13" max="28" width="15.140625" style="12" hidden="1" customWidth="1"/>
    <col min="29" max="29" width="21" style="91" hidden="1" customWidth="1"/>
    <col min="30" max="30" width="10.85546875" style="86" customWidth="1"/>
    <col min="31" max="31" width="10.85546875" style="86" hidden="1" customWidth="1"/>
    <col min="32" max="33" width="13.85546875" style="86" hidden="1" customWidth="1"/>
    <col min="34" max="34" width="13.85546875" style="85" customWidth="1"/>
    <col min="35" max="36" width="13.85546875" style="86" customWidth="1"/>
    <col min="37" max="37" width="16.85546875" style="85" hidden="1" customWidth="1"/>
    <col min="38" max="38" width="15.7109375" style="85" hidden="1" customWidth="1"/>
    <col min="39" max="39" width="18" style="85" hidden="1" customWidth="1"/>
    <col min="40" max="45" width="12.5703125" style="85" customWidth="1"/>
    <col min="46" max="46" width="20" style="85" customWidth="1"/>
    <col min="47" max="47" width="22.140625" style="12" customWidth="1"/>
    <col min="48" max="49" width="16.85546875" style="86" customWidth="1"/>
    <col min="50" max="53" width="16.85546875" style="86" hidden="1" customWidth="1"/>
    <col min="54" max="55" width="16.85546875" style="12" customWidth="1"/>
    <col min="56" max="56" width="33.85546875" style="12" bestFit="1" customWidth="1"/>
    <col min="57" max="57" width="16.85546875" style="12" customWidth="1"/>
    <col min="58" max="58" width="16.85546875" style="86" customWidth="1"/>
    <col min="59" max="64" width="16.85546875" style="86" hidden="1" customWidth="1"/>
    <col min="65" max="66" width="16.85546875" style="86" customWidth="1"/>
    <col min="67" max="68" width="16.85546875" style="87" customWidth="1"/>
    <col min="69" max="69" width="16.85546875" style="12" customWidth="1"/>
    <col min="70" max="70" width="16.85546875" style="86" customWidth="1"/>
    <col min="71" max="71" width="16.85546875" style="12" customWidth="1"/>
    <col min="72" max="72" width="16.7109375" style="12" customWidth="1"/>
    <col min="73" max="74" width="21.85546875" style="12" hidden="1" customWidth="1"/>
    <col min="75" max="75" width="21.85546875" style="12" customWidth="1"/>
    <col min="76" max="76" width="16.85546875" style="86" customWidth="1"/>
    <col min="77" max="82" width="16.85546875" style="12" customWidth="1"/>
    <col min="83" max="83" width="16.85546875" style="87" customWidth="1"/>
    <col min="84" max="84" width="16.85546875" style="88" customWidth="1"/>
    <col min="85" max="86" width="16.85546875" style="87" customWidth="1"/>
    <col min="87" max="88" width="16.85546875" style="88" customWidth="1"/>
    <col min="89" max="89" width="16.85546875" style="89" customWidth="1"/>
    <col min="90" max="90" width="16.85546875" style="87" customWidth="1"/>
    <col min="91" max="91" width="16.85546875" style="88" customWidth="1"/>
    <col min="92" max="93" width="16.85546875" style="87" customWidth="1"/>
    <col min="94" max="94" width="16.85546875" style="88" customWidth="1"/>
    <col min="95" max="95" width="35.7109375" style="90" customWidth="1"/>
    <col min="96" max="96" width="27.85546875" style="90" customWidth="1"/>
    <col min="97" max="97" width="28.85546875" style="90" customWidth="1"/>
    <col min="98" max="100" width="41.140625" style="90" customWidth="1"/>
    <col min="101" max="109" width="41.140625" style="11" customWidth="1"/>
    <col min="110" max="112" width="41.42578125" style="11" customWidth="1"/>
    <col min="113" max="115" width="16.85546875" style="11" customWidth="1"/>
    <col min="116" max="16384" width="16.85546875" style="11"/>
  </cols>
  <sheetData>
    <row r="1" spans="1:116" s="83" customFormat="1" ht="57.75" hidden="1" customHeight="1" x14ac:dyDescent="0.2">
      <c r="A1" s="308" t="s">
        <v>672</v>
      </c>
      <c r="B1" s="104" t="s">
        <v>242</v>
      </c>
      <c r="C1" s="103" t="s">
        <v>1928</v>
      </c>
      <c r="D1" s="105" t="s">
        <v>243</v>
      </c>
      <c r="E1" s="105" t="s">
        <v>150</v>
      </c>
      <c r="F1" s="105" t="s">
        <v>1359</v>
      </c>
      <c r="G1" s="105" t="s">
        <v>2591</v>
      </c>
      <c r="H1" s="105" t="s">
        <v>2590</v>
      </c>
      <c r="I1" s="103" t="s">
        <v>2592</v>
      </c>
      <c r="J1" s="105" t="s">
        <v>1797</v>
      </c>
      <c r="K1" s="105" t="s">
        <v>1073</v>
      </c>
      <c r="L1" s="105" t="s">
        <v>671</v>
      </c>
      <c r="M1" s="103" t="s">
        <v>1141</v>
      </c>
      <c r="N1" s="103" t="s">
        <v>1142</v>
      </c>
      <c r="O1" s="103" t="s">
        <v>1143</v>
      </c>
      <c r="P1" s="103" t="s">
        <v>1144</v>
      </c>
      <c r="Q1" s="103" t="s">
        <v>1145</v>
      </c>
      <c r="R1" s="103" t="s">
        <v>1146</v>
      </c>
      <c r="S1" s="103" t="s">
        <v>1147</v>
      </c>
      <c r="T1" s="103" t="s">
        <v>1148</v>
      </c>
      <c r="U1" s="103" t="s">
        <v>1149</v>
      </c>
      <c r="V1" s="103" t="s">
        <v>1150</v>
      </c>
      <c r="W1" s="103" t="s">
        <v>1151</v>
      </c>
      <c r="X1" s="103" t="s">
        <v>1152</v>
      </c>
      <c r="Y1" s="103" t="s">
        <v>1153</v>
      </c>
      <c r="Z1" s="103" t="s">
        <v>1154</v>
      </c>
      <c r="AA1" s="103" t="s">
        <v>1833</v>
      </c>
      <c r="AB1" s="103" t="s">
        <v>1155</v>
      </c>
      <c r="AC1" s="106" t="s">
        <v>1156</v>
      </c>
      <c r="AD1" s="107" t="s">
        <v>1830</v>
      </c>
      <c r="AE1" s="107"/>
      <c r="AF1" s="107"/>
      <c r="AG1" s="107"/>
      <c r="AH1" s="108" t="s">
        <v>2615</v>
      </c>
      <c r="AI1" s="107" t="s">
        <v>2616</v>
      </c>
      <c r="AJ1" s="107"/>
      <c r="AK1" s="108" t="s">
        <v>1729</v>
      </c>
      <c r="AL1" s="108" t="s">
        <v>1074</v>
      </c>
      <c r="AM1" s="108" t="s">
        <v>670</v>
      </c>
      <c r="AN1" s="108" t="s">
        <v>216</v>
      </c>
      <c r="AO1" s="108" t="s">
        <v>217</v>
      </c>
      <c r="AP1" s="108" t="s">
        <v>218</v>
      </c>
      <c r="AQ1" s="108" t="s">
        <v>219</v>
      </c>
      <c r="AR1" s="108" t="s">
        <v>220</v>
      </c>
      <c r="AS1" s="108" t="s">
        <v>221</v>
      </c>
      <c r="AT1" s="108" t="s">
        <v>953</v>
      </c>
      <c r="AU1" s="103" t="s">
        <v>222</v>
      </c>
      <c r="AV1" s="107" t="s">
        <v>223</v>
      </c>
      <c r="AW1" s="107" t="s">
        <v>224</v>
      </c>
      <c r="AX1" s="107" t="s">
        <v>731</v>
      </c>
      <c r="AY1" s="107" t="s">
        <v>732</v>
      </c>
      <c r="AZ1" s="107" t="s">
        <v>733</v>
      </c>
      <c r="BA1" s="107" t="s">
        <v>734</v>
      </c>
      <c r="BB1" s="103" t="s">
        <v>225</v>
      </c>
      <c r="BC1" s="103"/>
      <c r="BD1" s="103" t="s">
        <v>226</v>
      </c>
      <c r="BE1" s="103" t="s">
        <v>227</v>
      </c>
      <c r="BF1" s="107" t="s">
        <v>228</v>
      </c>
      <c r="BG1" s="107" t="s">
        <v>736</v>
      </c>
      <c r="BH1" s="107" t="s">
        <v>737</v>
      </c>
      <c r="BI1" s="107" t="s">
        <v>738</v>
      </c>
      <c r="BJ1" s="107" t="s">
        <v>1230</v>
      </c>
      <c r="BK1" s="107" t="s">
        <v>1231</v>
      </c>
      <c r="BL1" s="107" t="s">
        <v>1232</v>
      </c>
      <c r="BM1" s="107" t="s">
        <v>229</v>
      </c>
      <c r="BN1" s="107" t="s">
        <v>230</v>
      </c>
      <c r="BO1" s="103" t="s">
        <v>234</v>
      </c>
      <c r="BP1" s="103" t="s">
        <v>746</v>
      </c>
      <c r="BQ1" s="103" t="s">
        <v>232</v>
      </c>
      <c r="BR1" s="107" t="s">
        <v>231</v>
      </c>
      <c r="BS1" s="103" t="s">
        <v>233</v>
      </c>
      <c r="BT1" s="103" t="s">
        <v>726</v>
      </c>
      <c r="BU1" s="103" t="s">
        <v>667</v>
      </c>
      <c r="BV1" s="103" t="s">
        <v>666</v>
      </c>
      <c r="BW1" s="103"/>
      <c r="BX1" s="107" t="s">
        <v>668</v>
      </c>
      <c r="BY1" s="103" t="s">
        <v>235</v>
      </c>
      <c r="BZ1" s="103" t="s">
        <v>1236</v>
      </c>
      <c r="CA1" s="103" t="s">
        <v>1238</v>
      </c>
      <c r="CB1" s="103" t="s">
        <v>1239</v>
      </c>
      <c r="CC1" s="103" t="s">
        <v>1240</v>
      </c>
      <c r="CD1" s="103" t="s">
        <v>1241</v>
      </c>
      <c r="CE1" s="103" t="s">
        <v>236</v>
      </c>
      <c r="CF1" s="107" t="s">
        <v>237</v>
      </c>
      <c r="CG1" s="103" t="s">
        <v>238</v>
      </c>
      <c r="CH1" s="103" t="s">
        <v>239</v>
      </c>
      <c r="CI1" s="107" t="s">
        <v>240</v>
      </c>
      <c r="CJ1" s="107" t="s">
        <v>241</v>
      </c>
      <c r="CK1" s="109" t="s">
        <v>301</v>
      </c>
      <c r="CL1" s="103" t="s">
        <v>669</v>
      </c>
      <c r="CM1" s="107" t="s">
        <v>303</v>
      </c>
      <c r="CN1" s="103" t="s">
        <v>743</v>
      </c>
      <c r="CO1" s="103" t="s">
        <v>302</v>
      </c>
      <c r="CP1" s="107" t="s">
        <v>304</v>
      </c>
      <c r="CQ1" s="110" t="s">
        <v>244</v>
      </c>
      <c r="CR1" s="110" t="s">
        <v>1534</v>
      </c>
      <c r="CS1" s="110" t="s">
        <v>1535</v>
      </c>
      <c r="CT1" s="110" t="s">
        <v>973</v>
      </c>
      <c r="CU1" s="110" t="s">
        <v>1621</v>
      </c>
      <c r="CV1" s="110" t="s">
        <v>1622</v>
      </c>
      <c r="CW1" s="110" t="s">
        <v>329</v>
      </c>
      <c r="CX1" s="110" t="s">
        <v>330</v>
      </c>
      <c r="CY1" s="110" t="s">
        <v>331</v>
      </c>
      <c r="CZ1" s="110" t="s">
        <v>332</v>
      </c>
      <c r="DA1" s="110" t="s">
        <v>333</v>
      </c>
      <c r="DB1" s="110" t="s">
        <v>334</v>
      </c>
      <c r="DC1" s="110" t="s">
        <v>335</v>
      </c>
      <c r="DD1" s="110" t="s">
        <v>369</v>
      </c>
      <c r="DE1" s="110" t="s">
        <v>414</v>
      </c>
      <c r="DF1" s="110" t="s">
        <v>451</v>
      </c>
      <c r="DG1" s="110" t="s">
        <v>656</v>
      </c>
      <c r="DH1" s="110" t="s">
        <v>657</v>
      </c>
      <c r="DI1" s="110"/>
      <c r="DJ1" s="110"/>
      <c r="DK1" s="110"/>
      <c r="DL1" s="104"/>
    </row>
    <row r="2" spans="1:116" s="154" customFormat="1" ht="77.25" thickBot="1" x14ac:dyDescent="0.25">
      <c r="A2" s="309" t="s">
        <v>288</v>
      </c>
      <c r="B2" s="147" t="s">
        <v>262</v>
      </c>
      <c r="C2" s="146" t="s">
        <v>1929</v>
      </c>
      <c r="D2" s="148" t="s">
        <v>157</v>
      </c>
      <c r="E2" s="148" t="s">
        <v>150</v>
      </c>
      <c r="F2" s="148" t="s">
        <v>1351</v>
      </c>
      <c r="G2" s="148" t="s">
        <v>2228</v>
      </c>
      <c r="H2" s="148" t="s">
        <v>2589</v>
      </c>
      <c r="I2" s="146" t="s">
        <v>2229</v>
      </c>
      <c r="J2" s="148" t="s">
        <v>2082</v>
      </c>
      <c r="K2" s="148" t="s">
        <v>1072</v>
      </c>
      <c r="L2" s="148" t="s">
        <v>611</v>
      </c>
      <c r="M2" s="146" t="s">
        <v>1127</v>
      </c>
      <c r="N2" s="146" t="s">
        <v>1128</v>
      </c>
      <c r="O2" s="146" t="s">
        <v>1129</v>
      </c>
      <c r="P2" s="146" t="s">
        <v>1130</v>
      </c>
      <c r="Q2" s="146" t="s">
        <v>1131</v>
      </c>
      <c r="R2" s="146" t="s">
        <v>1132</v>
      </c>
      <c r="S2" s="146" t="s">
        <v>1133</v>
      </c>
      <c r="T2" s="146" t="s">
        <v>1134</v>
      </c>
      <c r="U2" s="146" t="s">
        <v>1135</v>
      </c>
      <c r="V2" s="146" t="s">
        <v>1136</v>
      </c>
      <c r="W2" s="146" t="s">
        <v>1137</v>
      </c>
      <c r="X2" s="146" t="s">
        <v>1138</v>
      </c>
      <c r="Y2" s="146" t="s">
        <v>1139</v>
      </c>
      <c r="Z2" s="146" t="s">
        <v>1140</v>
      </c>
      <c r="AA2" s="146" t="s">
        <v>1832</v>
      </c>
      <c r="AB2" s="146" t="s">
        <v>1829</v>
      </c>
      <c r="AC2" s="149" t="s">
        <v>1831</v>
      </c>
      <c r="AD2" s="150" t="s">
        <v>309</v>
      </c>
      <c r="AE2" s="150" t="s">
        <v>1983</v>
      </c>
      <c r="AF2" s="150" t="s">
        <v>1988</v>
      </c>
      <c r="AG2" s="150" t="s">
        <v>1989</v>
      </c>
      <c r="AH2" s="151" t="s">
        <v>2613</v>
      </c>
      <c r="AI2" s="150" t="s">
        <v>2614</v>
      </c>
      <c r="AJ2" s="146" t="s">
        <v>2003</v>
      </c>
      <c r="AK2" s="146" t="s">
        <v>1757</v>
      </c>
      <c r="AL2" s="146" t="s">
        <v>1075</v>
      </c>
      <c r="AM2" s="146" t="s">
        <v>483</v>
      </c>
      <c r="AN2" s="151" t="s">
        <v>263</v>
      </c>
      <c r="AO2" s="151" t="s">
        <v>264</v>
      </c>
      <c r="AP2" s="151" t="s">
        <v>265</v>
      </c>
      <c r="AQ2" s="151" t="s">
        <v>266</v>
      </c>
      <c r="AR2" s="151" t="s">
        <v>267</v>
      </c>
      <c r="AS2" s="151" t="s">
        <v>268</v>
      </c>
      <c r="AT2" s="151" t="s">
        <v>951</v>
      </c>
      <c r="AU2" s="146" t="s">
        <v>269</v>
      </c>
      <c r="AV2" s="150" t="s">
        <v>270</v>
      </c>
      <c r="AW2" s="150" t="s">
        <v>271</v>
      </c>
      <c r="AX2" s="150" t="s">
        <v>728</v>
      </c>
      <c r="AY2" s="150" t="s">
        <v>729</v>
      </c>
      <c r="AZ2" s="150" t="s">
        <v>730</v>
      </c>
      <c r="BA2" s="150" t="s">
        <v>735</v>
      </c>
      <c r="BB2" s="146" t="s">
        <v>2490</v>
      </c>
      <c r="BC2" s="146" t="s">
        <v>2588</v>
      </c>
      <c r="BD2" s="146" t="s">
        <v>272</v>
      </c>
      <c r="BE2" s="146" t="s">
        <v>273</v>
      </c>
      <c r="BF2" s="150" t="s">
        <v>274</v>
      </c>
      <c r="BG2" s="150" t="s">
        <v>739</v>
      </c>
      <c r="BH2" s="150" t="s">
        <v>740</v>
      </c>
      <c r="BI2" s="150" t="s">
        <v>741</v>
      </c>
      <c r="BJ2" s="150" t="s">
        <v>1233</v>
      </c>
      <c r="BK2" s="150" t="s">
        <v>1234</v>
      </c>
      <c r="BL2" s="150" t="s">
        <v>1235</v>
      </c>
      <c r="BM2" s="150" t="s">
        <v>275</v>
      </c>
      <c r="BN2" s="150" t="s">
        <v>276</v>
      </c>
      <c r="BO2" s="146" t="s">
        <v>618</v>
      </c>
      <c r="BP2" s="146" t="s">
        <v>747</v>
      </c>
      <c r="BQ2" s="146" t="s">
        <v>2491</v>
      </c>
      <c r="BR2" s="146" t="s">
        <v>277</v>
      </c>
      <c r="BS2" s="146" t="s">
        <v>278</v>
      </c>
      <c r="BT2" s="146" t="s">
        <v>727</v>
      </c>
      <c r="BU2" s="146" t="s">
        <v>665</v>
      </c>
      <c r="BV2" s="146" t="s">
        <v>2586</v>
      </c>
      <c r="BW2" s="146" t="s">
        <v>2494</v>
      </c>
      <c r="BX2" s="150" t="s">
        <v>2587</v>
      </c>
      <c r="BY2" s="146" t="s">
        <v>279</v>
      </c>
      <c r="BZ2" s="146" t="s">
        <v>1237</v>
      </c>
      <c r="CA2" s="146" t="s">
        <v>1242</v>
      </c>
      <c r="CB2" s="146" t="s">
        <v>1243</v>
      </c>
      <c r="CC2" s="146" t="s">
        <v>1244</v>
      </c>
      <c r="CD2" s="146" t="s">
        <v>1245</v>
      </c>
      <c r="CE2" s="146" t="s">
        <v>176</v>
      </c>
      <c r="CF2" s="150" t="s">
        <v>177</v>
      </c>
      <c r="CG2" s="146" t="s">
        <v>280</v>
      </c>
      <c r="CH2" s="146" t="s">
        <v>281</v>
      </c>
      <c r="CI2" s="146" t="s">
        <v>282</v>
      </c>
      <c r="CJ2" s="146" t="s">
        <v>283</v>
      </c>
      <c r="CK2" s="152" t="s">
        <v>2492</v>
      </c>
      <c r="CL2" s="146" t="s">
        <v>314</v>
      </c>
      <c r="CM2" s="150" t="s">
        <v>297</v>
      </c>
      <c r="CN2" s="146" t="s">
        <v>295</v>
      </c>
      <c r="CO2" s="146" t="s">
        <v>744</v>
      </c>
      <c r="CP2" s="150" t="s">
        <v>296</v>
      </c>
      <c r="CQ2" s="153" t="s">
        <v>643</v>
      </c>
      <c r="CR2" s="153" t="s">
        <v>1534</v>
      </c>
      <c r="CS2" s="153" t="s">
        <v>1535</v>
      </c>
      <c r="CT2" s="153" t="s">
        <v>973</v>
      </c>
      <c r="CU2" s="153" t="s">
        <v>1623</v>
      </c>
      <c r="CV2" s="153" t="s">
        <v>1624</v>
      </c>
      <c r="CW2" s="153" t="s">
        <v>644</v>
      </c>
      <c r="CX2" s="153" t="s">
        <v>645</v>
      </c>
      <c r="CY2" s="153" t="s">
        <v>646</v>
      </c>
      <c r="CZ2" s="153" t="s">
        <v>647</v>
      </c>
      <c r="DA2" s="153" t="s">
        <v>648</v>
      </c>
      <c r="DB2" s="153" t="s">
        <v>649</v>
      </c>
      <c r="DC2" s="153" t="s">
        <v>650</v>
      </c>
      <c r="DD2" s="153" t="s">
        <v>651</v>
      </c>
      <c r="DE2" s="153" t="s">
        <v>652</v>
      </c>
      <c r="DF2" s="153" t="s">
        <v>653</v>
      </c>
      <c r="DG2" s="153" t="s">
        <v>654</v>
      </c>
      <c r="DH2" s="153" t="s">
        <v>655</v>
      </c>
      <c r="DI2" s="153" t="s">
        <v>2278</v>
      </c>
      <c r="DJ2" s="153"/>
      <c r="DK2" s="153"/>
      <c r="DL2" s="147" t="s">
        <v>2262</v>
      </c>
    </row>
    <row r="3" spans="1:116" s="83" customFormat="1" ht="14.25" thickTop="1" thickBot="1" x14ac:dyDescent="0.25">
      <c r="A3" s="310"/>
      <c r="B3" s="156" t="s">
        <v>748</v>
      </c>
      <c r="C3" s="157"/>
      <c r="D3" s="158" t="s">
        <v>748</v>
      </c>
      <c r="E3" s="159"/>
      <c r="F3" s="159"/>
      <c r="G3" s="159"/>
      <c r="H3" s="159"/>
      <c r="I3" s="155"/>
      <c r="J3" s="159"/>
      <c r="K3" s="159"/>
      <c r="L3" s="159"/>
      <c r="M3" s="159"/>
      <c r="N3" s="159"/>
      <c r="O3" s="159"/>
      <c r="P3" s="159"/>
      <c r="Q3" s="159"/>
      <c r="R3" s="159"/>
      <c r="S3" s="159"/>
      <c r="T3" s="159"/>
      <c r="U3" s="159"/>
      <c r="V3" s="159"/>
      <c r="W3" s="159"/>
      <c r="X3" s="159"/>
      <c r="Y3" s="159"/>
      <c r="Z3" s="159"/>
      <c r="AA3" s="159"/>
      <c r="AB3" s="159"/>
      <c r="AC3" s="160"/>
      <c r="AD3" s="161"/>
      <c r="AE3" s="161"/>
      <c r="AF3" s="161"/>
      <c r="AG3" s="161"/>
      <c r="AH3" s="162"/>
      <c r="AI3" s="161"/>
      <c r="AJ3" s="161"/>
      <c r="AK3" s="162"/>
      <c r="AL3" s="162"/>
      <c r="AM3" s="162"/>
      <c r="AN3" s="163">
        <v>1</v>
      </c>
      <c r="AO3" s="163">
        <v>2</v>
      </c>
      <c r="AP3" s="163">
        <v>3</v>
      </c>
      <c r="AQ3" s="163">
        <v>4</v>
      </c>
      <c r="AR3" s="163">
        <v>5</v>
      </c>
      <c r="AS3" s="163">
        <v>6</v>
      </c>
      <c r="AT3" s="163"/>
      <c r="AU3" s="155"/>
      <c r="AV3" s="161"/>
      <c r="AW3" s="161"/>
      <c r="AX3" s="161"/>
      <c r="AY3" s="161"/>
      <c r="AZ3" s="161"/>
      <c r="BA3" s="161"/>
      <c r="BB3" s="155"/>
      <c r="BC3" s="155"/>
      <c r="BD3" s="155"/>
      <c r="BE3" s="155"/>
      <c r="BF3" s="161"/>
      <c r="BG3" s="161"/>
      <c r="BH3" s="161"/>
      <c r="BI3" s="161"/>
      <c r="BJ3" s="161"/>
      <c r="BK3" s="161"/>
      <c r="BL3" s="161"/>
      <c r="BM3" s="161"/>
      <c r="BN3" s="161"/>
      <c r="BO3" s="155"/>
      <c r="BP3" s="155"/>
      <c r="BQ3" s="155"/>
      <c r="BR3" s="155"/>
      <c r="BS3" s="155"/>
      <c r="BT3" s="155"/>
      <c r="BU3" s="155"/>
      <c r="BV3" s="155"/>
      <c r="BW3" s="155"/>
      <c r="BX3" s="161"/>
      <c r="BY3" s="155"/>
      <c r="BZ3" s="155"/>
      <c r="CA3" s="155"/>
      <c r="CB3" s="155"/>
      <c r="CC3" s="155"/>
      <c r="CD3" s="155"/>
      <c r="CE3" s="155"/>
      <c r="CF3" s="161"/>
      <c r="CG3" s="155"/>
      <c r="CH3" s="155"/>
      <c r="CI3" s="155"/>
      <c r="CJ3" s="155"/>
      <c r="CK3" s="164"/>
      <c r="CL3" s="155"/>
      <c r="CM3" s="161"/>
      <c r="CN3" s="155"/>
      <c r="CO3" s="155"/>
      <c r="CP3" s="161"/>
      <c r="CQ3" s="165"/>
      <c r="CR3" s="165"/>
      <c r="CS3" s="165"/>
      <c r="CT3" s="165"/>
      <c r="CU3" s="165"/>
      <c r="CV3" s="165"/>
      <c r="CW3" s="165"/>
      <c r="CX3" s="165"/>
      <c r="CY3" s="165"/>
      <c r="CZ3" s="165"/>
      <c r="DA3" s="165"/>
      <c r="DB3" s="165"/>
      <c r="DC3" s="165"/>
      <c r="DD3" s="165"/>
      <c r="DE3" s="165"/>
      <c r="DF3" s="165"/>
      <c r="DG3" s="165"/>
      <c r="DH3" s="165"/>
      <c r="DI3" s="165"/>
      <c r="DJ3" s="165"/>
      <c r="DK3" s="165"/>
      <c r="DL3" s="166"/>
    </row>
    <row r="4" spans="1:116" s="195" customFormat="1" ht="14.25" thickTop="1" thickBot="1" x14ac:dyDescent="0.25">
      <c r="A4" s="177"/>
      <c r="B4" s="178"/>
      <c r="C4" s="179"/>
      <c r="D4" s="180" t="s">
        <v>32</v>
      </c>
      <c r="E4" s="181"/>
      <c r="F4" s="181"/>
      <c r="G4" s="181"/>
      <c r="H4" s="181"/>
      <c r="I4" s="182"/>
      <c r="J4" s="181"/>
      <c r="K4" s="183"/>
      <c r="L4" s="183"/>
      <c r="M4" s="183"/>
      <c r="N4" s="183"/>
      <c r="O4" s="183"/>
      <c r="P4" s="183"/>
      <c r="Q4" s="183"/>
      <c r="R4" s="183"/>
      <c r="S4" s="183"/>
      <c r="T4" s="183"/>
      <c r="U4" s="183"/>
      <c r="V4" s="183"/>
      <c r="W4" s="183"/>
      <c r="X4" s="183"/>
      <c r="Y4" s="183"/>
      <c r="Z4" s="183"/>
      <c r="AA4" s="183"/>
      <c r="AB4" s="183"/>
      <c r="AC4" s="184"/>
      <c r="AD4" s="185"/>
      <c r="AE4" s="185"/>
      <c r="AF4" s="185"/>
      <c r="AG4" s="185"/>
      <c r="AH4" s="306"/>
      <c r="AI4" s="185"/>
      <c r="AJ4" s="185"/>
      <c r="AK4" s="186"/>
      <c r="AL4" s="186"/>
      <c r="AM4" s="186"/>
      <c r="AN4" s="187"/>
      <c r="AO4" s="188"/>
      <c r="AP4" s="187"/>
      <c r="AQ4" s="187"/>
      <c r="AR4" s="187"/>
      <c r="AS4" s="187"/>
      <c r="AT4" s="187"/>
      <c r="AU4" s="179"/>
      <c r="AV4" s="189"/>
      <c r="AW4" s="189"/>
      <c r="AX4" s="189"/>
      <c r="AY4" s="189"/>
      <c r="AZ4" s="189"/>
      <c r="BA4" s="189"/>
      <c r="BB4" s="179"/>
      <c r="BC4" s="179"/>
      <c r="BD4" s="179"/>
      <c r="BE4" s="179"/>
      <c r="BF4" s="189"/>
      <c r="BG4" s="189"/>
      <c r="BH4" s="189"/>
      <c r="BI4" s="189"/>
      <c r="BJ4" s="189"/>
      <c r="BK4" s="189"/>
      <c r="BL4" s="189"/>
      <c r="BM4" s="189"/>
      <c r="BN4" s="189"/>
      <c r="BO4" s="190"/>
      <c r="BP4" s="190"/>
      <c r="BQ4" s="191"/>
      <c r="BR4" s="192"/>
      <c r="BS4" s="182"/>
      <c r="BT4" s="182"/>
      <c r="BU4" s="179"/>
      <c r="BV4" s="179"/>
      <c r="BW4" s="179"/>
      <c r="BX4" s="189"/>
      <c r="BY4" s="179"/>
      <c r="BZ4" s="179"/>
      <c r="CA4" s="179"/>
      <c r="CB4" s="179"/>
      <c r="CC4" s="179"/>
      <c r="CD4" s="179"/>
      <c r="CE4" s="190"/>
      <c r="CF4" s="313" t="s">
        <v>284</v>
      </c>
      <c r="CG4" s="313"/>
      <c r="CH4" s="190"/>
      <c r="CI4" s="193"/>
      <c r="CJ4" s="193"/>
      <c r="CK4" s="194"/>
      <c r="CL4" s="190"/>
      <c r="CM4" s="193"/>
      <c r="CN4" s="190"/>
      <c r="CO4" s="190"/>
      <c r="CP4" s="193" t="s">
        <v>206</v>
      </c>
      <c r="CQ4" s="181"/>
      <c r="CR4" s="181"/>
      <c r="CS4" s="181"/>
      <c r="CT4" s="181"/>
      <c r="CU4" s="181"/>
      <c r="CV4" s="181"/>
      <c r="CW4" s="178"/>
      <c r="CX4" s="178"/>
      <c r="CY4" s="178"/>
      <c r="CZ4" s="178"/>
      <c r="DA4" s="178"/>
      <c r="DB4" s="178"/>
      <c r="DC4" s="178"/>
      <c r="DD4" s="178"/>
      <c r="DE4" s="178"/>
      <c r="DF4" s="178"/>
      <c r="DG4" s="178"/>
      <c r="DH4" s="178"/>
      <c r="DI4" s="178"/>
      <c r="DJ4" s="178"/>
      <c r="DK4" s="178" t="s">
        <v>289</v>
      </c>
      <c r="DL4" s="178"/>
    </row>
    <row r="5" spans="1:116" s="253" customFormat="1" ht="27" thickTop="1" x14ac:dyDescent="0.25">
      <c r="A5" s="237"/>
      <c r="B5" s="238" t="s">
        <v>180</v>
      </c>
      <c r="C5" s="239">
        <v>363</v>
      </c>
      <c r="D5" s="240" t="s">
        <v>207</v>
      </c>
      <c r="E5" s="241" t="s">
        <v>480</v>
      </c>
      <c r="F5" s="241" t="s">
        <v>1352</v>
      </c>
      <c r="G5" s="241" t="s">
        <v>2230</v>
      </c>
      <c r="H5" s="243" t="s">
        <v>2593</v>
      </c>
      <c r="I5" s="242" t="s">
        <v>2231</v>
      </c>
      <c r="J5" s="241" t="s">
        <v>2095</v>
      </c>
      <c r="K5" s="244" t="s">
        <v>1167</v>
      </c>
      <c r="L5" s="244" t="s">
        <v>544</v>
      </c>
      <c r="M5" s="239" t="s">
        <v>1973</v>
      </c>
      <c r="N5" s="239" t="s">
        <v>1972</v>
      </c>
      <c r="O5" s="239" t="s">
        <v>1972</v>
      </c>
      <c r="P5" s="239" t="s">
        <v>1972</v>
      </c>
      <c r="Q5" s="239" t="s">
        <v>1978</v>
      </c>
      <c r="R5" s="239" t="s">
        <v>1973</v>
      </c>
      <c r="S5" s="244"/>
      <c r="T5" s="244"/>
      <c r="U5" s="244"/>
      <c r="V5" s="244"/>
      <c r="W5" s="244"/>
      <c r="X5" s="244"/>
      <c r="Y5" s="244"/>
      <c r="Z5" s="244"/>
      <c r="AA5" s="239">
        <v>13</v>
      </c>
      <c r="AB5" s="239">
        <v>57</v>
      </c>
      <c r="AC5" s="245">
        <f>AB5+(AA5*(30/60))</f>
        <v>63.5</v>
      </c>
      <c r="AD5" s="246">
        <v>1</v>
      </c>
      <c r="AE5" s="246" t="s">
        <v>1984</v>
      </c>
      <c r="AF5" s="246" t="s">
        <v>1984</v>
      </c>
      <c r="AG5" s="246" t="s">
        <v>1984</v>
      </c>
      <c r="AH5" s="247">
        <v>0.1</v>
      </c>
      <c r="AI5" s="246" t="s">
        <v>298</v>
      </c>
      <c r="AJ5" s="246" t="s">
        <v>2004</v>
      </c>
      <c r="AK5" s="247" t="s">
        <v>1776</v>
      </c>
      <c r="AL5" s="247" t="s">
        <v>1092</v>
      </c>
      <c r="AM5" s="247" t="s">
        <v>664</v>
      </c>
      <c r="AN5" s="247">
        <v>0.1</v>
      </c>
      <c r="AO5" s="247">
        <v>0.1</v>
      </c>
      <c r="AP5" s="247">
        <v>0.1</v>
      </c>
      <c r="AQ5" s="247">
        <v>0.1</v>
      </c>
      <c r="AR5" s="247">
        <v>0.1</v>
      </c>
      <c r="AS5" s="247">
        <v>0.1</v>
      </c>
      <c r="AT5" s="247" t="s">
        <v>952</v>
      </c>
      <c r="AU5" s="239" t="s">
        <v>1396</v>
      </c>
      <c r="AV5" s="246">
        <v>1</v>
      </c>
      <c r="AW5" s="246"/>
      <c r="AX5" s="246"/>
      <c r="AY5" s="246"/>
      <c r="AZ5" s="246"/>
      <c r="BA5" s="246"/>
      <c r="BB5" s="248" t="s">
        <v>2349</v>
      </c>
      <c r="BC5" s="249">
        <v>45737</v>
      </c>
      <c r="BD5" s="239" t="s">
        <v>2423</v>
      </c>
      <c r="BE5" s="239" t="s">
        <v>186</v>
      </c>
      <c r="BF5" s="246">
        <v>1</v>
      </c>
      <c r="BG5" s="246"/>
      <c r="BH5" s="246"/>
      <c r="BI5" s="246"/>
      <c r="BJ5" s="246"/>
      <c r="BK5" s="246"/>
      <c r="BL5" s="246"/>
      <c r="BM5" s="246">
        <v>1</v>
      </c>
      <c r="BN5" s="246">
        <v>1</v>
      </c>
      <c r="BO5" s="250" t="s">
        <v>612</v>
      </c>
      <c r="BP5" s="250">
        <v>1</v>
      </c>
      <c r="BQ5" s="239" t="s">
        <v>2425</v>
      </c>
      <c r="BR5" s="246">
        <v>1</v>
      </c>
      <c r="BS5" s="239" t="s">
        <v>23</v>
      </c>
      <c r="BT5" s="246" t="s">
        <v>169</v>
      </c>
      <c r="BU5" s="239" t="s">
        <v>246</v>
      </c>
      <c r="BV5" s="239" t="s">
        <v>1835</v>
      </c>
      <c r="BW5" s="239" t="s">
        <v>2495</v>
      </c>
      <c r="BX5" s="246">
        <f t="shared" ref="BX5:BX11" si="0">AN5*10</f>
        <v>1</v>
      </c>
      <c r="BY5" s="239" t="s">
        <v>149</v>
      </c>
      <c r="BZ5" s="239" t="s">
        <v>1321</v>
      </c>
      <c r="CA5" s="239">
        <v>1</v>
      </c>
      <c r="CB5" s="239">
        <v>1</v>
      </c>
      <c r="CC5" s="239">
        <v>1</v>
      </c>
      <c r="CD5" s="239">
        <v>1</v>
      </c>
      <c r="CE5" s="251">
        <v>1</v>
      </c>
      <c r="CF5" s="251">
        <v>0.1</v>
      </c>
      <c r="CG5" s="250" t="s">
        <v>1018</v>
      </c>
      <c r="CH5" s="250" t="s">
        <v>2643</v>
      </c>
      <c r="CI5" s="251">
        <v>1</v>
      </c>
      <c r="CJ5" s="251">
        <v>1</v>
      </c>
      <c r="CK5" s="252">
        <v>2025.0361</v>
      </c>
      <c r="CL5" s="250" t="s">
        <v>316</v>
      </c>
      <c r="CM5" s="250">
        <v>1</v>
      </c>
      <c r="CN5" s="250" t="s">
        <v>290</v>
      </c>
      <c r="CO5" s="250">
        <v>0</v>
      </c>
      <c r="CP5" s="251" t="s">
        <v>290</v>
      </c>
      <c r="CQ5" s="244" t="s">
        <v>930</v>
      </c>
      <c r="CR5" s="244" t="s">
        <v>1583</v>
      </c>
      <c r="CS5" s="244" t="s">
        <v>1584</v>
      </c>
      <c r="CT5" s="244" t="s">
        <v>1603</v>
      </c>
      <c r="CU5" s="244" t="s">
        <v>1712</v>
      </c>
      <c r="CV5" s="244" t="s">
        <v>1701</v>
      </c>
      <c r="CW5" s="238" t="s">
        <v>338</v>
      </c>
      <c r="CX5" s="238" t="s">
        <v>339</v>
      </c>
      <c r="CY5" s="238" t="s">
        <v>336</v>
      </c>
      <c r="CZ5" s="238" t="s">
        <v>337</v>
      </c>
      <c r="DA5" s="238"/>
      <c r="DB5" s="238"/>
      <c r="DC5" s="238"/>
      <c r="DD5" s="238"/>
      <c r="DE5" s="238"/>
      <c r="DF5" s="238"/>
      <c r="DG5" s="238"/>
      <c r="DH5" s="238"/>
      <c r="DI5" s="238" t="s">
        <v>2279</v>
      </c>
      <c r="DJ5" s="238"/>
      <c r="DK5" s="238" t="s">
        <v>290</v>
      </c>
      <c r="DL5" s="238">
        <f>COUNTA(CW5:DH5)</f>
        <v>4</v>
      </c>
    </row>
    <row r="6" spans="1:116" ht="25.5" x14ac:dyDescent="0.2">
      <c r="A6" s="111"/>
      <c r="B6" s="112" t="s">
        <v>50</v>
      </c>
      <c r="C6" s="113">
        <v>364</v>
      </c>
      <c r="D6" s="120" t="s">
        <v>33</v>
      </c>
      <c r="E6" s="121" t="s">
        <v>480</v>
      </c>
      <c r="F6" s="121" t="s">
        <v>1352</v>
      </c>
      <c r="G6" s="121" t="s">
        <v>2230</v>
      </c>
      <c r="H6" s="121" t="s">
        <v>2593</v>
      </c>
      <c r="I6" s="122" t="s">
        <v>2231</v>
      </c>
      <c r="J6" s="121" t="s">
        <v>2096</v>
      </c>
      <c r="K6" s="124" t="s">
        <v>1168</v>
      </c>
      <c r="L6" s="124" t="s">
        <v>545</v>
      </c>
      <c r="M6" s="113" t="s">
        <v>1973</v>
      </c>
      <c r="N6" s="113" t="s">
        <v>1975</v>
      </c>
      <c r="O6" s="113"/>
      <c r="P6" s="113"/>
      <c r="Q6" s="113"/>
      <c r="R6" s="113"/>
      <c r="S6" s="124"/>
      <c r="T6" s="124"/>
      <c r="U6" s="124"/>
      <c r="V6" s="124"/>
      <c r="W6" s="124"/>
      <c r="X6" s="124"/>
      <c r="Y6" s="124"/>
      <c r="Z6" s="124"/>
      <c r="AA6" s="113">
        <v>11</v>
      </c>
      <c r="AB6" s="113">
        <v>37</v>
      </c>
      <c r="AC6" s="125">
        <f>AB6+(AA6*(30/60))</f>
        <v>42.5</v>
      </c>
      <c r="AD6" s="116">
        <v>0.5</v>
      </c>
      <c r="AE6" s="116" t="s">
        <v>1984</v>
      </c>
      <c r="AF6" s="116" t="s">
        <v>1984</v>
      </c>
      <c r="AG6" s="116" t="s">
        <v>1984</v>
      </c>
      <c r="AH6" s="125">
        <v>0</v>
      </c>
      <c r="AI6" s="116" t="s">
        <v>162</v>
      </c>
      <c r="AJ6" s="116" t="s">
        <v>2005</v>
      </c>
      <c r="AK6" s="114" t="s">
        <v>1775</v>
      </c>
      <c r="AL6" s="114" t="s">
        <v>1093</v>
      </c>
      <c r="AM6" s="114" t="s">
        <v>663</v>
      </c>
      <c r="AN6" s="114">
        <v>0.05</v>
      </c>
      <c r="AO6" s="114">
        <v>0.05</v>
      </c>
      <c r="AP6" s="114">
        <v>0.05</v>
      </c>
      <c r="AQ6" s="114">
        <v>0.05</v>
      </c>
      <c r="AR6" s="114">
        <v>0.05</v>
      </c>
      <c r="AS6" s="114">
        <v>0.05</v>
      </c>
      <c r="AT6" s="114" t="s">
        <v>952</v>
      </c>
      <c r="AU6" s="113" t="s">
        <v>1397</v>
      </c>
      <c r="AV6" s="116">
        <v>0.5</v>
      </c>
      <c r="AW6" s="116"/>
      <c r="AX6" s="116"/>
      <c r="AY6" s="116"/>
      <c r="AZ6" s="116"/>
      <c r="BA6" s="116"/>
      <c r="BB6" s="113" t="s">
        <v>184</v>
      </c>
      <c r="BC6" s="128">
        <v>42754</v>
      </c>
      <c r="BD6" s="113" t="s">
        <v>182</v>
      </c>
      <c r="BE6" s="113" t="s">
        <v>186</v>
      </c>
      <c r="BF6" s="116">
        <v>0.5</v>
      </c>
      <c r="BG6" s="116"/>
      <c r="BH6" s="116"/>
      <c r="BI6" s="116"/>
      <c r="BJ6" s="116"/>
      <c r="BK6" s="116"/>
      <c r="BL6" s="116"/>
      <c r="BM6" s="116">
        <v>0.5</v>
      </c>
      <c r="BN6" s="116">
        <v>0.5</v>
      </c>
      <c r="BO6" s="117" t="s">
        <v>613</v>
      </c>
      <c r="BP6" s="117">
        <v>0.5</v>
      </c>
      <c r="BQ6" s="113" t="s">
        <v>2426</v>
      </c>
      <c r="BR6" s="116">
        <v>0.5</v>
      </c>
      <c r="BS6" s="113" t="s">
        <v>23</v>
      </c>
      <c r="BT6" s="116" t="s">
        <v>169</v>
      </c>
      <c r="BU6" s="113" t="s">
        <v>147</v>
      </c>
      <c r="BV6" s="113" t="s">
        <v>1836</v>
      </c>
      <c r="BW6" s="113" t="s">
        <v>2496</v>
      </c>
      <c r="BX6" s="116">
        <f t="shared" si="0"/>
        <v>0.5</v>
      </c>
      <c r="BY6" s="113" t="s">
        <v>149</v>
      </c>
      <c r="BZ6" s="113" t="s">
        <v>2618</v>
      </c>
      <c r="CA6" s="113">
        <v>0.5</v>
      </c>
      <c r="CB6" s="113">
        <v>0.5</v>
      </c>
      <c r="CC6" s="113">
        <v>0.5</v>
      </c>
      <c r="CD6" s="113">
        <v>0.5</v>
      </c>
      <c r="CE6" s="118">
        <v>0.5</v>
      </c>
      <c r="CF6" s="118">
        <v>0</v>
      </c>
      <c r="CG6" s="117" t="s">
        <v>179</v>
      </c>
      <c r="CH6" s="117" t="s">
        <v>2643</v>
      </c>
      <c r="CI6" s="118">
        <v>0.5</v>
      </c>
      <c r="CJ6" s="118">
        <v>0.5</v>
      </c>
      <c r="CK6" s="119">
        <v>2025.0362</v>
      </c>
      <c r="CL6" s="117" t="s">
        <v>316</v>
      </c>
      <c r="CM6" s="117">
        <v>0.5</v>
      </c>
      <c r="CN6" s="117" t="s">
        <v>290</v>
      </c>
      <c r="CO6" s="117">
        <v>0</v>
      </c>
      <c r="CP6" s="118" t="s">
        <v>290</v>
      </c>
      <c r="CQ6" s="124" t="s">
        <v>340</v>
      </c>
      <c r="CR6" s="124" t="s">
        <v>1585</v>
      </c>
      <c r="CS6" s="124" t="s">
        <v>340</v>
      </c>
      <c r="CT6" s="129" t="s">
        <v>1604</v>
      </c>
      <c r="CU6" s="129" t="s">
        <v>1712</v>
      </c>
      <c r="CV6" s="129" t="s">
        <v>1701</v>
      </c>
      <c r="CW6" s="124" t="s">
        <v>341</v>
      </c>
      <c r="CX6" s="112"/>
      <c r="CY6" s="112"/>
      <c r="CZ6" s="112"/>
      <c r="DA6" s="112"/>
      <c r="DB6" s="112"/>
      <c r="DC6" s="112"/>
      <c r="DD6" s="112"/>
      <c r="DE6" s="112"/>
      <c r="DF6" s="112"/>
      <c r="DG6" s="112"/>
      <c r="DH6" s="112"/>
      <c r="DI6" s="112" t="s">
        <v>2279</v>
      </c>
      <c r="DJ6" s="112"/>
      <c r="DK6" s="112"/>
      <c r="DL6" s="112">
        <f t="shared" ref="DL6:DL69" si="1">COUNTA(CW6:DH6)</f>
        <v>1</v>
      </c>
    </row>
    <row r="7" spans="1:116" s="253" customFormat="1" ht="25.5" x14ac:dyDescent="0.2">
      <c r="A7" s="254"/>
      <c r="B7" s="255" t="s">
        <v>51</v>
      </c>
      <c r="C7" s="256">
        <v>365</v>
      </c>
      <c r="D7" s="257" t="s">
        <v>34</v>
      </c>
      <c r="E7" s="258" t="s">
        <v>480</v>
      </c>
      <c r="F7" s="258" t="s">
        <v>1352</v>
      </c>
      <c r="G7" s="258" t="s">
        <v>2230</v>
      </c>
      <c r="H7" s="258" t="s">
        <v>2593</v>
      </c>
      <c r="I7" s="259" t="s">
        <v>2231</v>
      </c>
      <c r="J7" s="258" t="s">
        <v>2097</v>
      </c>
      <c r="K7" s="260" t="s">
        <v>1169</v>
      </c>
      <c r="L7" s="260" t="s">
        <v>546</v>
      </c>
      <c r="M7" s="256" t="s">
        <v>1972</v>
      </c>
      <c r="N7" s="256" t="s">
        <v>1972</v>
      </c>
      <c r="O7" s="256" t="s">
        <v>1972</v>
      </c>
      <c r="P7" s="256" t="s">
        <v>1972</v>
      </c>
      <c r="Q7" s="256" t="s">
        <v>1972</v>
      </c>
      <c r="R7" s="256" t="s">
        <v>1973</v>
      </c>
      <c r="S7" s="260"/>
      <c r="T7" s="260"/>
      <c r="U7" s="260"/>
      <c r="V7" s="260"/>
      <c r="W7" s="260"/>
      <c r="X7" s="260"/>
      <c r="Y7" s="260"/>
      <c r="Z7" s="260"/>
      <c r="AA7" s="256">
        <v>9</v>
      </c>
      <c r="AB7" s="256">
        <v>32</v>
      </c>
      <c r="AC7" s="261">
        <f t="shared" ref="AC7:AC14" si="2">AB7+(AA7*(30/60))</f>
        <v>36.5</v>
      </c>
      <c r="AD7" s="262">
        <v>0.5</v>
      </c>
      <c r="AE7" s="262" t="s">
        <v>1984</v>
      </c>
      <c r="AF7" s="262" t="s">
        <v>1984</v>
      </c>
      <c r="AG7" s="262" t="s">
        <v>1984</v>
      </c>
      <c r="AH7" s="261">
        <v>0</v>
      </c>
      <c r="AI7" s="262" t="s">
        <v>162</v>
      </c>
      <c r="AJ7" s="262" t="s">
        <v>2006</v>
      </c>
      <c r="AK7" s="263" t="s">
        <v>1774</v>
      </c>
      <c r="AL7" s="263" t="s">
        <v>1094</v>
      </c>
      <c r="AM7" s="263" t="s">
        <v>662</v>
      </c>
      <c r="AN7" s="263">
        <v>0.05</v>
      </c>
      <c r="AO7" s="263">
        <v>0.05</v>
      </c>
      <c r="AP7" s="263">
        <v>0.05</v>
      </c>
      <c r="AQ7" s="263">
        <v>0.05</v>
      </c>
      <c r="AR7" s="263">
        <v>0.05</v>
      </c>
      <c r="AS7" s="263">
        <v>0.05</v>
      </c>
      <c r="AT7" s="263" t="s">
        <v>952</v>
      </c>
      <c r="AU7" s="256" t="s">
        <v>1398</v>
      </c>
      <c r="AV7" s="262">
        <v>0.5</v>
      </c>
      <c r="AW7" s="262"/>
      <c r="AX7" s="262"/>
      <c r="AY7" s="262"/>
      <c r="AZ7" s="262"/>
      <c r="BA7" s="262"/>
      <c r="BB7" s="256" t="s">
        <v>185</v>
      </c>
      <c r="BC7" s="264">
        <v>42754</v>
      </c>
      <c r="BD7" s="256" t="s">
        <v>182</v>
      </c>
      <c r="BE7" s="256" t="s">
        <v>186</v>
      </c>
      <c r="BF7" s="262">
        <v>0.5</v>
      </c>
      <c r="BG7" s="262"/>
      <c r="BH7" s="262"/>
      <c r="BI7" s="262"/>
      <c r="BJ7" s="262"/>
      <c r="BK7" s="262"/>
      <c r="BL7" s="262"/>
      <c r="BM7" s="262">
        <v>0.5</v>
      </c>
      <c r="BN7" s="262">
        <v>0.5</v>
      </c>
      <c r="BO7" s="265" t="s">
        <v>613</v>
      </c>
      <c r="BP7" s="265">
        <v>0.5</v>
      </c>
      <c r="BQ7" s="256" t="s">
        <v>2427</v>
      </c>
      <c r="BR7" s="262">
        <v>0.5</v>
      </c>
      <c r="BS7" s="256" t="s">
        <v>23</v>
      </c>
      <c r="BT7" s="262" t="s">
        <v>169</v>
      </c>
      <c r="BU7" s="256" t="s">
        <v>126</v>
      </c>
      <c r="BV7" s="256" t="s">
        <v>1837</v>
      </c>
      <c r="BW7" s="256" t="s">
        <v>2497</v>
      </c>
      <c r="BX7" s="262">
        <f t="shared" si="0"/>
        <v>0.5</v>
      </c>
      <c r="BY7" s="256" t="s">
        <v>149</v>
      </c>
      <c r="BZ7" s="256" t="s">
        <v>2619</v>
      </c>
      <c r="CA7" s="256">
        <v>0.5</v>
      </c>
      <c r="CB7" s="256">
        <v>0.5</v>
      </c>
      <c r="CC7" s="256">
        <v>0.5</v>
      </c>
      <c r="CD7" s="256">
        <v>0.5</v>
      </c>
      <c r="CE7" s="266">
        <v>0.5</v>
      </c>
      <c r="CF7" s="266">
        <v>0</v>
      </c>
      <c r="CG7" s="265" t="s">
        <v>179</v>
      </c>
      <c r="CH7" s="265" t="s">
        <v>2643</v>
      </c>
      <c r="CI7" s="266">
        <v>0.5</v>
      </c>
      <c r="CJ7" s="266">
        <v>0.5</v>
      </c>
      <c r="CK7" s="267">
        <v>2025.0363</v>
      </c>
      <c r="CL7" s="265" t="s">
        <v>316</v>
      </c>
      <c r="CM7" s="265">
        <v>0.5</v>
      </c>
      <c r="CN7" s="265" t="s">
        <v>290</v>
      </c>
      <c r="CO7" s="265">
        <v>0</v>
      </c>
      <c r="CP7" s="266" t="s">
        <v>290</v>
      </c>
      <c r="CQ7" s="260" t="s">
        <v>1001</v>
      </c>
      <c r="CR7" s="260" t="s">
        <v>1586</v>
      </c>
      <c r="CS7" s="260" t="s">
        <v>1587</v>
      </c>
      <c r="CT7" s="268" t="s">
        <v>984</v>
      </c>
      <c r="CU7" s="268" t="s">
        <v>1712</v>
      </c>
      <c r="CV7" s="268" t="s">
        <v>1701</v>
      </c>
      <c r="CW7" s="255" t="s">
        <v>342</v>
      </c>
      <c r="CX7" s="255" t="s">
        <v>343</v>
      </c>
      <c r="CY7" s="255"/>
      <c r="CZ7" s="255"/>
      <c r="DA7" s="255"/>
      <c r="DB7" s="255"/>
      <c r="DC7" s="255"/>
      <c r="DD7" s="255"/>
      <c r="DE7" s="255"/>
      <c r="DF7" s="255"/>
      <c r="DG7" s="255"/>
      <c r="DH7" s="255"/>
      <c r="DI7" s="255" t="s">
        <v>2279</v>
      </c>
      <c r="DJ7" s="255"/>
      <c r="DK7" s="255"/>
      <c r="DL7" s="255">
        <f t="shared" si="1"/>
        <v>2</v>
      </c>
    </row>
    <row r="8" spans="1:116" ht="25.5" x14ac:dyDescent="0.2">
      <c r="A8" s="111"/>
      <c r="B8" s="112" t="s">
        <v>205</v>
      </c>
      <c r="C8" s="113">
        <v>366</v>
      </c>
      <c r="D8" s="120" t="s">
        <v>35</v>
      </c>
      <c r="E8" s="121" t="s">
        <v>480</v>
      </c>
      <c r="F8" s="121" t="s">
        <v>1352</v>
      </c>
      <c r="G8" s="121" t="s">
        <v>2230</v>
      </c>
      <c r="H8" s="121" t="s">
        <v>2593</v>
      </c>
      <c r="I8" s="122" t="s">
        <v>2231</v>
      </c>
      <c r="J8" s="121" t="s">
        <v>2098</v>
      </c>
      <c r="K8" s="124" t="s">
        <v>1170</v>
      </c>
      <c r="L8" s="124" t="s">
        <v>936</v>
      </c>
      <c r="M8" s="113" t="s">
        <v>1973</v>
      </c>
      <c r="N8" s="113" t="s">
        <v>1977</v>
      </c>
      <c r="O8" s="113"/>
      <c r="P8" s="113"/>
      <c r="Q8" s="113"/>
      <c r="R8" s="113"/>
      <c r="S8" s="124"/>
      <c r="T8" s="124"/>
      <c r="U8" s="124"/>
      <c r="V8" s="124"/>
      <c r="W8" s="124"/>
      <c r="X8" s="124"/>
      <c r="Y8" s="124"/>
      <c r="Z8" s="124"/>
      <c r="AA8" s="113">
        <v>10</v>
      </c>
      <c r="AB8" s="113">
        <v>30</v>
      </c>
      <c r="AC8" s="125">
        <f t="shared" si="2"/>
        <v>35</v>
      </c>
      <c r="AD8" s="116">
        <v>0.5</v>
      </c>
      <c r="AE8" s="116" t="s">
        <v>1984</v>
      </c>
      <c r="AF8" s="116" t="s">
        <v>1984</v>
      </c>
      <c r="AG8" s="116" t="s">
        <v>1984</v>
      </c>
      <c r="AH8" s="125">
        <v>0</v>
      </c>
      <c r="AI8" s="116" t="s">
        <v>162</v>
      </c>
      <c r="AJ8" s="116" t="s">
        <v>2007</v>
      </c>
      <c r="AK8" s="114" t="s">
        <v>1773</v>
      </c>
      <c r="AL8" s="114" t="s">
        <v>1095</v>
      </c>
      <c r="AM8" s="114" t="s">
        <v>661</v>
      </c>
      <c r="AN8" s="114">
        <v>0.05</v>
      </c>
      <c r="AO8" s="114">
        <v>0.05</v>
      </c>
      <c r="AP8" s="114">
        <v>0.05</v>
      </c>
      <c r="AQ8" s="114">
        <v>0.05</v>
      </c>
      <c r="AR8" s="114">
        <v>0.05</v>
      </c>
      <c r="AS8" s="114">
        <v>0.05</v>
      </c>
      <c r="AT8" s="114" t="s">
        <v>952</v>
      </c>
      <c r="AU8" s="113" t="s">
        <v>1424</v>
      </c>
      <c r="AV8" s="116">
        <v>0.5</v>
      </c>
      <c r="AW8" s="116"/>
      <c r="AX8" s="116"/>
      <c r="AY8" s="116"/>
      <c r="AZ8" s="116"/>
      <c r="BA8" s="116"/>
      <c r="BB8" s="113" t="s">
        <v>200</v>
      </c>
      <c r="BC8" s="128">
        <v>42754</v>
      </c>
      <c r="BD8" s="113" t="s">
        <v>182</v>
      </c>
      <c r="BE8" s="113" t="s">
        <v>186</v>
      </c>
      <c r="BF8" s="116">
        <v>0.5</v>
      </c>
      <c r="BG8" s="116"/>
      <c r="BH8" s="116"/>
      <c r="BI8" s="116"/>
      <c r="BJ8" s="116"/>
      <c r="BK8" s="116"/>
      <c r="BL8" s="116"/>
      <c r="BM8" s="116">
        <v>0.5</v>
      </c>
      <c r="BN8" s="116">
        <v>0.5</v>
      </c>
      <c r="BO8" s="117" t="s">
        <v>613</v>
      </c>
      <c r="BP8" s="117">
        <v>0.5</v>
      </c>
      <c r="BQ8" s="130" t="s">
        <v>2428</v>
      </c>
      <c r="BR8" s="116">
        <v>0.5</v>
      </c>
      <c r="BS8" s="113" t="s">
        <v>23</v>
      </c>
      <c r="BT8" s="116" t="s">
        <v>169</v>
      </c>
      <c r="BU8" s="113" t="s">
        <v>118</v>
      </c>
      <c r="BV8" s="113" t="s">
        <v>1838</v>
      </c>
      <c r="BW8" s="113" t="s">
        <v>2498</v>
      </c>
      <c r="BX8" s="116">
        <f t="shared" si="0"/>
        <v>0.5</v>
      </c>
      <c r="BY8" s="113" t="s">
        <v>149</v>
      </c>
      <c r="BZ8" s="113" t="s">
        <v>2620</v>
      </c>
      <c r="CA8" s="113">
        <v>0.5</v>
      </c>
      <c r="CB8" s="113">
        <v>0.5</v>
      </c>
      <c r="CC8" s="113">
        <v>0.5</v>
      </c>
      <c r="CD8" s="113">
        <v>0.5</v>
      </c>
      <c r="CE8" s="118">
        <v>0.5</v>
      </c>
      <c r="CF8" s="118">
        <v>0</v>
      </c>
      <c r="CG8" s="117" t="s">
        <v>179</v>
      </c>
      <c r="CH8" s="117" t="s">
        <v>2643</v>
      </c>
      <c r="CI8" s="118">
        <v>0.5</v>
      </c>
      <c r="CJ8" s="118">
        <v>0.5</v>
      </c>
      <c r="CK8" s="119">
        <v>2025.0364</v>
      </c>
      <c r="CL8" s="117" t="s">
        <v>316</v>
      </c>
      <c r="CM8" s="117">
        <v>0.5</v>
      </c>
      <c r="CN8" s="117" t="s">
        <v>290</v>
      </c>
      <c r="CO8" s="117">
        <v>0</v>
      </c>
      <c r="CP8" s="118" t="s">
        <v>290</v>
      </c>
      <c r="CQ8" s="124" t="s">
        <v>344</v>
      </c>
      <c r="CR8" s="124" t="s">
        <v>1588</v>
      </c>
      <c r="CS8" s="124" t="s">
        <v>1589</v>
      </c>
      <c r="CT8" s="129" t="s">
        <v>985</v>
      </c>
      <c r="CU8" s="129" t="s">
        <v>1712</v>
      </c>
      <c r="CV8" s="129" t="s">
        <v>1701</v>
      </c>
      <c r="CW8" s="124" t="s">
        <v>345</v>
      </c>
      <c r="CX8" s="124" t="s">
        <v>346</v>
      </c>
      <c r="CY8" s="112"/>
      <c r="CZ8" s="112"/>
      <c r="DA8" s="112"/>
      <c r="DB8" s="112"/>
      <c r="DC8" s="112"/>
      <c r="DD8" s="112"/>
      <c r="DE8" s="112"/>
      <c r="DF8" s="112"/>
      <c r="DG8" s="112"/>
      <c r="DH8" s="112"/>
      <c r="DI8" s="112" t="s">
        <v>2279</v>
      </c>
      <c r="DJ8" s="112"/>
      <c r="DK8" s="112"/>
      <c r="DL8" s="112">
        <f t="shared" si="1"/>
        <v>2</v>
      </c>
    </row>
    <row r="9" spans="1:116" s="253" customFormat="1" ht="25.5" x14ac:dyDescent="0.2">
      <c r="A9" s="254"/>
      <c r="B9" s="255" t="s">
        <v>201</v>
      </c>
      <c r="C9" s="256">
        <v>367</v>
      </c>
      <c r="D9" s="257" t="s">
        <v>202</v>
      </c>
      <c r="E9" s="258" t="s">
        <v>480</v>
      </c>
      <c r="F9" s="258" t="s">
        <v>1352</v>
      </c>
      <c r="G9" s="258" t="s">
        <v>2230</v>
      </c>
      <c r="H9" s="258" t="s">
        <v>2593</v>
      </c>
      <c r="I9" s="259" t="s">
        <v>2231</v>
      </c>
      <c r="J9" s="258" t="s">
        <v>2099</v>
      </c>
      <c r="K9" s="260" t="s">
        <v>1171</v>
      </c>
      <c r="L9" s="260" t="s">
        <v>547</v>
      </c>
      <c r="M9" s="256" t="s">
        <v>1972</v>
      </c>
      <c r="N9" s="256" t="s">
        <v>1978</v>
      </c>
      <c r="O9" s="256" t="s">
        <v>1977</v>
      </c>
      <c r="P9" s="256"/>
      <c r="Q9" s="256"/>
      <c r="R9" s="256"/>
      <c r="S9" s="260"/>
      <c r="T9" s="260"/>
      <c r="U9" s="260"/>
      <c r="V9" s="260"/>
      <c r="W9" s="260"/>
      <c r="X9" s="260"/>
      <c r="Y9" s="260"/>
      <c r="Z9" s="260"/>
      <c r="AA9" s="256">
        <v>8</v>
      </c>
      <c r="AB9" s="256">
        <v>52</v>
      </c>
      <c r="AC9" s="261">
        <f t="shared" si="2"/>
        <v>56</v>
      </c>
      <c r="AD9" s="262">
        <v>1</v>
      </c>
      <c r="AE9" s="262" t="s">
        <v>1985</v>
      </c>
      <c r="AF9" s="262"/>
      <c r="AG9" s="262"/>
      <c r="AH9" s="263">
        <v>0.1</v>
      </c>
      <c r="AI9" s="262" t="s">
        <v>298</v>
      </c>
      <c r="AJ9" s="262" t="s">
        <v>2008</v>
      </c>
      <c r="AK9" s="263" t="s">
        <v>1770</v>
      </c>
      <c r="AL9" s="263" t="s">
        <v>1096</v>
      </c>
      <c r="AM9" s="263" t="s">
        <v>660</v>
      </c>
      <c r="AN9" s="263">
        <v>0.1</v>
      </c>
      <c r="AO9" s="263">
        <v>0.1</v>
      </c>
      <c r="AP9" s="263">
        <v>0.1</v>
      </c>
      <c r="AQ9" s="263">
        <v>0.1</v>
      </c>
      <c r="AR9" s="263">
        <v>0.1</v>
      </c>
      <c r="AS9" s="263">
        <v>0.1</v>
      </c>
      <c r="AT9" s="263" t="s">
        <v>952</v>
      </c>
      <c r="AU9" s="256" t="s">
        <v>1399</v>
      </c>
      <c r="AV9" s="262">
        <v>1</v>
      </c>
      <c r="AW9" s="262"/>
      <c r="AX9" s="262"/>
      <c r="AY9" s="262"/>
      <c r="AZ9" s="262"/>
      <c r="BA9" s="262"/>
      <c r="BB9" s="269" t="s">
        <v>2350</v>
      </c>
      <c r="BC9" s="270">
        <v>45737</v>
      </c>
      <c r="BD9" s="256" t="s">
        <v>2423</v>
      </c>
      <c r="BE9" s="256" t="s">
        <v>186</v>
      </c>
      <c r="BF9" s="262">
        <v>1</v>
      </c>
      <c r="BG9" s="262"/>
      <c r="BH9" s="262"/>
      <c r="BI9" s="262"/>
      <c r="BJ9" s="262"/>
      <c r="BK9" s="262"/>
      <c r="BL9" s="262"/>
      <c r="BM9" s="262">
        <v>1</v>
      </c>
      <c r="BN9" s="262">
        <v>1</v>
      </c>
      <c r="BO9" s="265" t="s">
        <v>612</v>
      </c>
      <c r="BP9" s="265">
        <v>1</v>
      </c>
      <c r="BQ9" s="271" t="s">
        <v>2429</v>
      </c>
      <c r="BR9" s="262">
        <v>1</v>
      </c>
      <c r="BS9" s="256" t="s">
        <v>23</v>
      </c>
      <c r="BT9" s="262" t="s">
        <v>169</v>
      </c>
      <c r="BU9" s="256" t="s">
        <v>211</v>
      </c>
      <c r="BV9" s="256" t="s">
        <v>1839</v>
      </c>
      <c r="BW9" s="256" t="s">
        <v>2499</v>
      </c>
      <c r="BX9" s="262">
        <f t="shared" si="0"/>
        <v>1</v>
      </c>
      <c r="BY9" s="256" t="s">
        <v>149</v>
      </c>
      <c r="BZ9" s="256" t="s">
        <v>1322</v>
      </c>
      <c r="CA9" s="256">
        <v>1</v>
      </c>
      <c r="CB9" s="256">
        <v>1</v>
      </c>
      <c r="CC9" s="256">
        <v>1</v>
      </c>
      <c r="CD9" s="256">
        <v>1</v>
      </c>
      <c r="CE9" s="266">
        <v>1</v>
      </c>
      <c r="CF9" s="266">
        <v>0.1</v>
      </c>
      <c r="CG9" s="265" t="s">
        <v>1017</v>
      </c>
      <c r="CH9" s="265" t="s">
        <v>2643</v>
      </c>
      <c r="CI9" s="266">
        <v>0.5</v>
      </c>
      <c r="CJ9" s="266">
        <v>0.5</v>
      </c>
      <c r="CK9" s="267">
        <v>2025.0364999999999</v>
      </c>
      <c r="CL9" s="265" t="s">
        <v>316</v>
      </c>
      <c r="CM9" s="265">
        <v>1</v>
      </c>
      <c r="CN9" s="265" t="s">
        <v>290</v>
      </c>
      <c r="CO9" s="265">
        <v>0</v>
      </c>
      <c r="CP9" s="266" t="s">
        <v>290</v>
      </c>
      <c r="CQ9" s="260" t="s">
        <v>347</v>
      </c>
      <c r="CR9" s="260" t="s">
        <v>1590</v>
      </c>
      <c r="CS9" s="260" t="s">
        <v>1591</v>
      </c>
      <c r="CT9" s="260" t="s">
        <v>1605</v>
      </c>
      <c r="CU9" s="260" t="s">
        <v>1712</v>
      </c>
      <c r="CV9" s="260" t="s">
        <v>1701</v>
      </c>
      <c r="CW9" s="255" t="s">
        <v>348</v>
      </c>
      <c r="CX9" s="255" t="s">
        <v>349</v>
      </c>
      <c r="CY9" s="255" t="s">
        <v>350</v>
      </c>
      <c r="CZ9" s="255" t="s">
        <v>337</v>
      </c>
      <c r="DA9" s="255"/>
      <c r="DB9" s="255"/>
      <c r="DC9" s="255"/>
      <c r="DD9" s="255"/>
      <c r="DE9" s="255"/>
      <c r="DF9" s="255"/>
      <c r="DG9" s="255"/>
      <c r="DH9" s="255"/>
      <c r="DI9" s="255" t="s">
        <v>2279</v>
      </c>
      <c r="DJ9" s="255"/>
      <c r="DK9" s="255"/>
      <c r="DL9" s="255">
        <f t="shared" si="1"/>
        <v>4</v>
      </c>
    </row>
    <row r="10" spans="1:116" ht="25.5" x14ac:dyDescent="0.2">
      <c r="A10" s="111"/>
      <c r="B10" s="112" t="s">
        <v>203</v>
      </c>
      <c r="C10" s="113">
        <v>368</v>
      </c>
      <c r="D10" s="120" t="s">
        <v>204</v>
      </c>
      <c r="E10" s="121" t="s">
        <v>480</v>
      </c>
      <c r="F10" s="121" t="s">
        <v>1352</v>
      </c>
      <c r="G10" s="121" t="s">
        <v>2230</v>
      </c>
      <c r="H10" s="121" t="s">
        <v>2593</v>
      </c>
      <c r="I10" s="122" t="s">
        <v>2231</v>
      </c>
      <c r="J10" s="121" t="s">
        <v>2100</v>
      </c>
      <c r="K10" s="124" t="s">
        <v>1172</v>
      </c>
      <c r="L10" s="124" t="s">
        <v>561</v>
      </c>
      <c r="M10" s="113" t="s">
        <v>1976</v>
      </c>
      <c r="N10" s="113" t="s">
        <v>1976</v>
      </c>
      <c r="O10" s="113" t="s">
        <v>1976</v>
      </c>
      <c r="P10" s="113" t="s">
        <v>1976</v>
      </c>
      <c r="Q10" s="113" t="s">
        <v>1975</v>
      </c>
      <c r="R10" s="113"/>
      <c r="S10" s="124"/>
      <c r="T10" s="124"/>
      <c r="U10" s="124"/>
      <c r="V10" s="124"/>
      <c r="W10" s="124"/>
      <c r="X10" s="124"/>
      <c r="Y10" s="124"/>
      <c r="Z10" s="124"/>
      <c r="AA10" s="113">
        <v>11</v>
      </c>
      <c r="AB10" s="113">
        <v>89</v>
      </c>
      <c r="AC10" s="125">
        <f t="shared" si="2"/>
        <v>94.5</v>
      </c>
      <c r="AD10" s="116">
        <v>1.5</v>
      </c>
      <c r="AE10" s="116" t="s">
        <v>1985</v>
      </c>
      <c r="AF10" s="116"/>
      <c r="AG10" s="116"/>
      <c r="AH10" s="114">
        <v>0.15</v>
      </c>
      <c r="AI10" s="116" t="s">
        <v>298</v>
      </c>
      <c r="AJ10" s="116" t="s">
        <v>2009</v>
      </c>
      <c r="AK10" s="114" t="s">
        <v>1771</v>
      </c>
      <c r="AL10" s="114" t="s">
        <v>1099</v>
      </c>
      <c r="AM10" s="114" t="s">
        <v>659</v>
      </c>
      <c r="AN10" s="114">
        <v>0.15</v>
      </c>
      <c r="AO10" s="114">
        <v>0.15</v>
      </c>
      <c r="AP10" s="114">
        <v>0.15</v>
      </c>
      <c r="AQ10" s="114">
        <v>0.15</v>
      </c>
      <c r="AR10" s="114">
        <v>0.15</v>
      </c>
      <c r="AS10" s="114">
        <v>0.15</v>
      </c>
      <c r="AT10" s="114" t="s">
        <v>952</v>
      </c>
      <c r="AU10" s="113" t="s">
        <v>1425</v>
      </c>
      <c r="AV10" s="116">
        <v>1.5</v>
      </c>
      <c r="AW10" s="116"/>
      <c r="AX10" s="116"/>
      <c r="AY10" s="116"/>
      <c r="AZ10" s="116"/>
      <c r="BA10" s="116"/>
      <c r="BB10" s="126" t="s">
        <v>2352</v>
      </c>
      <c r="BC10" s="127">
        <v>45737</v>
      </c>
      <c r="BD10" s="113" t="s">
        <v>2423</v>
      </c>
      <c r="BE10" s="113" t="s">
        <v>186</v>
      </c>
      <c r="BF10" s="116">
        <v>1.5</v>
      </c>
      <c r="BG10" s="116"/>
      <c r="BH10" s="116"/>
      <c r="BI10" s="116"/>
      <c r="BJ10" s="116"/>
      <c r="BK10" s="116"/>
      <c r="BL10" s="116"/>
      <c r="BM10" s="116">
        <v>1.5</v>
      </c>
      <c r="BN10" s="116">
        <v>1.5</v>
      </c>
      <c r="BO10" s="117" t="s">
        <v>614</v>
      </c>
      <c r="BP10" s="117">
        <v>1.5</v>
      </c>
      <c r="BQ10" s="130" t="s">
        <v>2430</v>
      </c>
      <c r="BR10" s="116">
        <v>1.5</v>
      </c>
      <c r="BS10" s="113" t="s">
        <v>23</v>
      </c>
      <c r="BT10" s="116" t="s">
        <v>169</v>
      </c>
      <c r="BU10" s="113" t="s">
        <v>209</v>
      </c>
      <c r="BV10" s="113" t="s">
        <v>1840</v>
      </c>
      <c r="BW10" s="113" t="s">
        <v>2500</v>
      </c>
      <c r="BX10" s="116">
        <f t="shared" si="0"/>
        <v>1.5</v>
      </c>
      <c r="BY10" s="113" t="s">
        <v>149</v>
      </c>
      <c r="BZ10" s="113" t="s">
        <v>1323</v>
      </c>
      <c r="CA10" s="113">
        <v>1.5</v>
      </c>
      <c r="CB10" s="113">
        <v>1.5</v>
      </c>
      <c r="CC10" s="113">
        <v>1.5</v>
      </c>
      <c r="CD10" s="113">
        <v>1.5</v>
      </c>
      <c r="CE10" s="118">
        <v>1.5</v>
      </c>
      <c r="CF10" s="118">
        <v>0.1</v>
      </c>
      <c r="CG10" s="117" t="s">
        <v>1016</v>
      </c>
      <c r="CH10" s="117" t="s">
        <v>2643</v>
      </c>
      <c r="CI10" s="118">
        <v>1.5</v>
      </c>
      <c r="CJ10" s="118">
        <v>1.5</v>
      </c>
      <c r="CK10" s="119">
        <v>2025.0365999999999</v>
      </c>
      <c r="CL10" s="117" t="s">
        <v>316</v>
      </c>
      <c r="CM10" s="117">
        <v>1.5</v>
      </c>
      <c r="CN10" s="117" t="s">
        <v>290</v>
      </c>
      <c r="CO10" s="117">
        <v>0</v>
      </c>
      <c r="CP10" s="118" t="s">
        <v>290</v>
      </c>
      <c r="CQ10" s="124" t="s">
        <v>351</v>
      </c>
      <c r="CR10" s="124" t="s">
        <v>1592</v>
      </c>
      <c r="CS10" s="124" t="s">
        <v>1593</v>
      </c>
      <c r="CT10" s="124" t="s">
        <v>1606</v>
      </c>
      <c r="CU10" s="124" t="s">
        <v>1712</v>
      </c>
      <c r="CV10" s="124" t="s">
        <v>1701</v>
      </c>
      <c r="CW10" s="112" t="s">
        <v>352</v>
      </c>
      <c r="CX10" s="112" t="s">
        <v>353</v>
      </c>
      <c r="CY10" s="112" t="s">
        <v>354</v>
      </c>
      <c r="CZ10" s="112" t="s">
        <v>355</v>
      </c>
      <c r="DA10" s="112" t="s">
        <v>356</v>
      </c>
      <c r="DB10" s="112" t="s">
        <v>337</v>
      </c>
      <c r="DC10" s="112"/>
      <c r="DD10" s="112"/>
      <c r="DE10" s="112"/>
      <c r="DF10" s="112"/>
      <c r="DG10" s="112"/>
      <c r="DH10" s="112"/>
      <c r="DI10" s="112" t="s">
        <v>2279</v>
      </c>
      <c r="DJ10" s="112"/>
      <c r="DK10" s="112"/>
      <c r="DL10" s="112">
        <f t="shared" si="1"/>
        <v>6</v>
      </c>
    </row>
    <row r="11" spans="1:116" s="253" customFormat="1" ht="25.5" x14ac:dyDescent="0.2">
      <c r="A11" s="254"/>
      <c r="B11" s="255" t="s">
        <v>260</v>
      </c>
      <c r="C11" s="256">
        <v>369</v>
      </c>
      <c r="D11" s="257" t="s">
        <v>261</v>
      </c>
      <c r="E11" s="258" t="s">
        <v>480</v>
      </c>
      <c r="F11" s="258" t="s">
        <v>1352</v>
      </c>
      <c r="G11" s="258" t="s">
        <v>2230</v>
      </c>
      <c r="H11" s="258" t="s">
        <v>2593</v>
      </c>
      <c r="I11" s="259" t="s">
        <v>2231</v>
      </c>
      <c r="J11" s="258" t="s">
        <v>2101</v>
      </c>
      <c r="K11" s="260" t="s">
        <v>1173</v>
      </c>
      <c r="L11" s="260" t="s">
        <v>562</v>
      </c>
      <c r="M11" s="256" t="s">
        <v>1973</v>
      </c>
      <c r="N11" s="256" t="s">
        <v>1979</v>
      </c>
      <c r="O11" s="256"/>
      <c r="P11" s="256"/>
      <c r="Q11" s="256"/>
      <c r="R11" s="256"/>
      <c r="S11" s="260"/>
      <c r="T11" s="260"/>
      <c r="U11" s="260"/>
      <c r="V11" s="260"/>
      <c r="W11" s="260"/>
      <c r="X11" s="260"/>
      <c r="Y11" s="260"/>
      <c r="Z11" s="260"/>
      <c r="AA11" s="256">
        <v>9</v>
      </c>
      <c r="AB11" s="256">
        <v>33</v>
      </c>
      <c r="AC11" s="261">
        <f t="shared" si="2"/>
        <v>37.5</v>
      </c>
      <c r="AD11" s="262">
        <v>0.5</v>
      </c>
      <c r="AE11" s="262" t="s">
        <v>1984</v>
      </c>
      <c r="AF11" s="262" t="s">
        <v>1984</v>
      </c>
      <c r="AG11" s="262" t="s">
        <v>1984</v>
      </c>
      <c r="AH11" s="261">
        <v>0</v>
      </c>
      <c r="AI11" s="262" t="s">
        <v>162</v>
      </c>
      <c r="AJ11" s="262" t="s">
        <v>2055</v>
      </c>
      <c r="AK11" s="263" t="s">
        <v>1753</v>
      </c>
      <c r="AL11" s="263" t="s">
        <v>1102</v>
      </c>
      <c r="AM11" s="263" t="s">
        <v>675</v>
      </c>
      <c r="AN11" s="263">
        <v>0.05</v>
      </c>
      <c r="AO11" s="263">
        <v>0.05</v>
      </c>
      <c r="AP11" s="263">
        <v>0.05</v>
      </c>
      <c r="AQ11" s="263">
        <v>0.05</v>
      </c>
      <c r="AR11" s="263">
        <v>0.05</v>
      </c>
      <c r="AS11" s="263">
        <v>0.05</v>
      </c>
      <c r="AT11" s="263" t="s">
        <v>952</v>
      </c>
      <c r="AU11" s="256" t="s">
        <v>1426</v>
      </c>
      <c r="AV11" s="256">
        <v>0.5</v>
      </c>
      <c r="AW11" s="256"/>
      <c r="AX11" s="256"/>
      <c r="AY11" s="256"/>
      <c r="AZ11" s="256"/>
      <c r="BA11" s="256"/>
      <c r="BB11" s="269" t="s">
        <v>954</v>
      </c>
      <c r="BC11" s="269">
        <v>2022</v>
      </c>
      <c r="BD11" s="256" t="s">
        <v>182</v>
      </c>
      <c r="BE11" s="256" t="s">
        <v>186</v>
      </c>
      <c r="BF11" s="256">
        <v>0.5</v>
      </c>
      <c r="BG11" s="256"/>
      <c r="BH11" s="256"/>
      <c r="BI11" s="256"/>
      <c r="BJ11" s="256"/>
      <c r="BK11" s="256"/>
      <c r="BL11" s="256"/>
      <c r="BM11" s="256">
        <v>0.5</v>
      </c>
      <c r="BN11" s="256">
        <v>0.5</v>
      </c>
      <c r="BO11" s="265" t="s">
        <v>613</v>
      </c>
      <c r="BP11" s="265">
        <v>0.5</v>
      </c>
      <c r="BQ11" s="271" t="s">
        <v>2431</v>
      </c>
      <c r="BR11" s="262">
        <v>0.5</v>
      </c>
      <c r="BS11" s="256" t="s">
        <v>23</v>
      </c>
      <c r="BT11" s="262" t="s">
        <v>169</v>
      </c>
      <c r="BU11" s="256" t="s">
        <v>327</v>
      </c>
      <c r="BV11" s="256" t="s">
        <v>1841</v>
      </c>
      <c r="BW11" s="256" t="s">
        <v>2501</v>
      </c>
      <c r="BX11" s="262">
        <f t="shared" si="0"/>
        <v>0.5</v>
      </c>
      <c r="BY11" s="256" t="s">
        <v>149</v>
      </c>
      <c r="BZ11" s="256" t="s">
        <v>2621</v>
      </c>
      <c r="CA11" s="256">
        <v>0.5</v>
      </c>
      <c r="CB11" s="256">
        <v>0.5</v>
      </c>
      <c r="CC11" s="256">
        <v>0.5</v>
      </c>
      <c r="CD11" s="256">
        <v>0.5</v>
      </c>
      <c r="CE11" s="266">
        <v>0.5</v>
      </c>
      <c r="CF11" s="266">
        <v>0</v>
      </c>
      <c r="CG11" s="265" t="s">
        <v>179</v>
      </c>
      <c r="CH11" s="265" t="s">
        <v>2643</v>
      </c>
      <c r="CI11" s="266">
        <v>0.5</v>
      </c>
      <c r="CJ11" s="266">
        <v>0.5</v>
      </c>
      <c r="CK11" s="267">
        <v>2025.0367000000001</v>
      </c>
      <c r="CL11" s="265" t="s">
        <v>317</v>
      </c>
      <c r="CM11" s="265">
        <v>0.5</v>
      </c>
      <c r="CN11" s="265" t="s">
        <v>290</v>
      </c>
      <c r="CO11" s="265">
        <v>0</v>
      </c>
      <c r="CP11" s="266" t="s">
        <v>290</v>
      </c>
      <c r="CQ11" s="260" t="s">
        <v>357</v>
      </c>
      <c r="CR11" s="260" t="s">
        <v>1594</v>
      </c>
      <c r="CS11" s="260" t="s">
        <v>1595</v>
      </c>
      <c r="CT11" s="260" t="s">
        <v>1607</v>
      </c>
      <c r="CU11" s="260" t="s">
        <v>1712</v>
      </c>
      <c r="CV11" s="260" t="s">
        <v>1701</v>
      </c>
      <c r="CW11" s="255" t="s">
        <v>358</v>
      </c>
      <c r="CX11" s="255" t="s">
        <v>359</v>
      </c>
      <c r="CY11" s="255" t="s">
        <v>504</v>
      </c>
      <c r="CZ11" s="255" t="s">
        <v>337</v>
      </c>
      <c r="DA11" s="255"/>
      <c r="DB11" s="255"/>
      <c r="DC11" s="255"/>
      <c r="DD11" s="255"/>
      <c r="DE11" s="255"/>
      <c r="DF11" s="255"/>
      <c r="DG11" s="255"/>
      <c r="DH11" s="255"/>
      <c r="DI11" s="255" t="s">
        <v>2279</v>
      </c>
      <c r="DJ11" s="255"/>
      <c r="DK11" s="255"/>
      <c r="DL11" s="255">
        <f t="shared" si="1"/>
        <v>4</v>
      </c>
    </row>
    <row r="12" spans="1:116" ht="25.5" x14ac:dyDescent="0.2">
      <c r="A12" s="111"/>
      <c r="B12" s="112" t="s">
        <v>1715</v>
      </c>
      <c r="C12" s="113">
        <v>370</v>
      </c>
      <c r="D12" s="120" t="s">
        <v>1718</v>
      </c>
      <c r="E12" s="121" t="s">
        <v>480</v>
      </c>
      <c r="F12" s="121" t="s">
        <v>1352</v>
      </c>
      <c r="G12" s="121" t="s">
        <v>2230</v>
      </c>
      <c r="H12" s="121" t="s">
        <v>2593</v>
      </c>
      <c r="I12" s="122" t="s">
        <v>2231</v>
      </c>
      <c r="J12" s="121" t="s">
        <v>2102</v>
      </c>
      <c r="K12" s="124" t="s">
        <v>1728</v>
      </c>
      <c r="L12" s="124"/>
      <c r="M12" s="113" t="s">
        <v>1972</v>
      </c>
      <c r="N12" s="113" t="s">
        <v>1972</v>
      </c>
      <c r="O12" s="113" t="s">
        <v>1972</v>
      </c>
      <c r="P12" s="113" t="s">
        <v>1972</v>
      </c>
      <c r="Q12" s="113" t="s">
        <v>1972</v>
      </c>
      <c r="R12" s="113" t="s">
        <v>1972</v>
      </c>
      <c r="S12" s="113" t="s">
        <v>1972</v>
      </c>
      <c r="T12" s="113" t="s">
        <v>1977</v>
      </c>
      <c r="U12" s="124"/>
      <c r="V12" s="124"/>
      <c r="W12" s="124"/>
      <c r="X12" s="124"/>
      <c r="Y12" s="124"/>
      <c r="Z12" s="124"/>
      <c r="AA12" s="113">
        <v>13</v>
      </c>
      <c r="AB12" s="113">
        <v>119</v>
      </c>
      <c r="AC12" s="125">
        <f t="shared" si="2"/>
        <v>125.5</v>
      </c>
      <c r="AD12" s="116">
        <v>2</v>
      </c>
      <c r="AE12" s="116" t="s">
        <v>1985</v>
      </c>
      <c r="AF12" s="116"/>
      <c r="AG12" s="116"/>
      <c r="AH12" s="114">
        <v>0.2</v>
      </c>
      <c r="AI12" s="116" t="s">
        <v>298</v>
      </c>
      <c r="AJ12" s="116" t="s">
        <v>2064</v>
      </c>
      <c r="AK12" s="114" t="s">
        <v>1731</v>
      </c>
      <c r="AL12" s="114" t="s">
        <v>1723</v>
      </c>
      <c r="AM12" s="114" t="s">
        <v>1808</v>
      </c>
      <c r="AN12" s="114">
        <v>0.2</v>
      </c>
      <c r="AO12" s="114">
        <v>0</v>
      </c>
      <c r="AP12" s="114">
        <v>0.2</v>
      </c>
      <c r="AQ12" s="114">
        <v>0.2</v>
      </c>
      <c r="AR12" s="114">
        <v>0</v>
      </c>
      <c r="AS12" s="114">
        <v>0</v>
      </c>
      <c r="AT12" s="114" t="s">
        <v>952</v>
      </c>
      <c r="AU12" s="113" t="s">
        <v>2221</v>
      </c>
      <c r="AV12" s="113">
        <v>0</v>
      </c>
      <c r="AW12" s="113"/>
      <c r="AX12" s="113"/>
      <c r="AY12" s="113"/>
      <c r="AZ12" s="113"/>
      <c r="BA12" s="113"/>
      <c r="BB12" s="126" t="s">
        <v>2353</v>
      </c>
      <c r="BC12" s="127">
        <v>45737</v>
      </c>
      <c r="BD12" s="113" t="s">
        <v>2351</v>
      </c>
      <c r="BE12" s="113" t="s">
        <v>186</v>
      </c>
      <c r="BF12" s="113">
        <v>2</v>
      </c>
      <c r="BG12" s="113"/>
      <c r="BH12" s="113"/>
      <c r="BI12" s="113"/>
      <c r="BJ12" s="113"/>
      <c r="BK12" s="113"/>
      <c r="BL12" s="113"/>
      <c r="BM12" s="113">
        <v>2</v>
      </c>
      <c r="BN12" s="113">
        <v>0</v>
      </c>
      <c r="BO12" s="117" t="s">
        <v>615</v>
      </c>
      <c r="BP12" s="117">
        <v>2</v>
      </c>
      <c r="BQ12" s="130" t="s">
        <v>2432</v>
      </c>
      <c r="BR12" s="116">
        <v>2</v>
      </c>
      <c r="BS12" s="113" t="s">
        <v>23</v>
      </c>
      <c r="BT12" s="116" t="s">
        <v>169</v>
      </c>
      <c r="BU12" s="113"/>
      <c r="BV12" s="113" t="s">
        <v>1842</v>
      </c>
      <c r="BW12" s="113" t="s">
        <v>2502</v>
      </c>
      <c r="BX12" s="116">
        <v>2</v>
      </c>
      <c r="BY12" s="113" t="s">
        <v>158</v>
      </c>
      <c r="BZ12" s="113" t="s">
        <v>2622</v>
      </c>
      <c r="CA12" s="113">
        <v>2</v>
      </c>
      <c r="CB12" s="113">
        <v>0</v>
      </c>
      <c r="CC12" s="113">
        <v>0</v>
      </c>
      <c r="CD12" s="113">
        <v>0</v>
      </c>
      <c r="CE12" s="118">
        <v>2</v>
      </c>
      <c r="CF12" s="118" t="s">
        <v>169</v>
      </c>
      <c r="CG12" s="117" t="s">
        <v>169</v>
      </c>
      <c r="CH12" s="117" t="s">
        <v>2643</v>
      </c>
      <c r="CI12" s="118">
        <v>2</v>
      </c>
      <c r="CJ12" s="118">
        <v>2</v>
      </c>
      <c r="CK12" s="119">
        <v>2025.0368000000001</v>
      </c>
      <c r="CL12" s="117" t="s">
        <v>23</v>
      </c>
      <c r="CM12" s="117">
        <v>2</v>
      </c>
      <c r="CN12" s="117" t="s">
        <v>290</v>
      </c>
      <c r="CO12" s="117">
        <v>0</v>
      </c>
      <c r="CP12" s="118" t="s">
        <v>290</v>
      </c>
      <c r="CQ12" s="124" t="s">
        <v>1724</v>
      </c>
      <c r="CR12" s="124"/>
      <c r="CS12" s="124" t="s">
        <v>2224</v>
      </c>
      <c r="CT12" s="124" t="s">
        <v>1996</v>
      </c>
      <c r="CU12" s="124" t="s">
        <v>1714</v>
      </c>
      <c r="CV12" s="124" t="s">
        <v>1701</v>
      </c>
      <c r="CW12" s="112" t="s">
        <v>1999</v>
      </c>
      <c r="CX12" s="112"/>
      <c r="CY12" s="112"/>
      <c r="CZ12" s="112"/>
      <c r="DA12" s="112"/>
      <c r="DB12" s="112"/>
      <c r="DC12" s="112"/>
      <c r="DD12" s="112"/>
      <c r="DE12" s="112"/>
      <c r="DF12" s="112"/>
      <c r="DG12" s="112"/>
      <c r="DH12" s="112"/>
      <c r="DI12" s="112" t="s">
        <v>2280</v>
      </c>
      <c r="DJ12" s="112"/>
      <c r="DK12" s="112"/>
      <c r="DL12" s="112">
        <f t="shared" si="1"/>
        <v>1</v>
      </c>
    </row>
    <row r="13" spans="1:116" s="253" customFormat="1" ht="25.5" x14ac:dyDescent="0.2">
      <c r="A13" s="254"/>
      <c r="B13" s="255" t="s">
        <v>1716</v>
      </c>
      <c r="C13" s="256">
        <v>371</v>
      </c>
      <c r="D13" s="257" t="s">
        <v>1719</v>
      </c>
      <c r="E13" s="258" t="s">
        <v>480</v>
      </c>
      <c r="F13" s="258" t="s">
        <v>1352</v>
      </c>
      <c r="G13" s="258" t="s">
        <v>2230</v>
      </c>
      <c r="H13" s="258" t="s">
        <v>2593</v>
      </c>
      <c r="I13" s="259" t="s">
        <v>2231</v>
      </c>
      <c r="J13" s="258" t="s">
        <v>2103</v>
      </c>
      <c r="K13" s="260" t="s">
        <v>1782</v>
      </c>
      <c r="L13" s="260"/>
      <c r="M13" s="256" t="s">
        <v>1972</v>
      </c>
      <c r="N13" s="256" t="s">
        <v>1972</v>
      </c>
      <c r="O13" s="256" t="s">
        <v>1972</v>
      </c>
      <c r="P13" s="256" t="s">
        <v>1972</v>
      </c>
      <c r="Q13" s="256" t="s">
        <v>1972</v>
      </c>
      <c r="R13" s="256" t="s">
        <v>1972</v>
      </c>
      <c r="S13" s="256" t="s">
        <v>1973</v>
      </c>
      <c r="T13" s="256"/>
      <c r="U13" s="260"/>
      <c r="V13" s="260"/>
      <c r="W13" s="260"/>
      <c r="X13" s="260"/>
      <c r="Y13" s="260"/>
      <c r="Z13" s="260"/>
      <c r="AA13" s="256">
        <v>10</v>
      </c>
      <c r="AB13" s="256">
        <v>111</v>
      </c>
      <c r="AC13" s="261">
        <f t="shared" si="2"/>
        <v>116</v>
      </c>
      <c r="AD13" s="262">
        <v>2</v>
      </c>
      <c r="AE13" s="262" t="s">
        <v>1986</v>
      </c>
      <c r="AF13" s="262"/>
      <c r="AG13" s="262"/>
      <c r="AH13" s="263">
        <v>0.2</v>
      </c>
      <c r="AI13" s="262" t="s">
        <v>298</v>
      </c>
      <c r="AJ13" s="262" t="s">
        <v>2065</v>
      </c>
      <c r="AK13" s="263" t="s">
        <v>1730</v>
      </c>
      <c r="AL13" s="263" t="s">
        <v>1722</v>
      </c>
      <c r="AM13" s="263" t="s">
        <v>1808</v>
      </c>
      <c r="AN13" s="263">
        <v>0.2</v>
      </c>
      <c r="AO13" s="263">
        <v>0</v>
      </c>
      <c r="AP13" s="263">
        <v>0.2</v>
      </c>
      <c r="AQ13" s="263">
        <v>0.2</v>
      </c>
      <c r="AR13" s="263">
        <v>0</v>
      </c>
      <c r="AS13" s="263">
        <v>0</v>
      </c>
      <c r="AT13" s="263" t="s">
        <v>952</v>
      </c>
      <c r="AU13" s="256" t="s">
        <v>2221</v>
      </c>
      <c r="AV13" s="256">
        <v>0</v>
      </c>
      <c r="AW13" s="256"/>
      <c r="AX13" s="256"/>
      <c r="AY13" s="256"/>
      <c r="AZ13" s="256"/>
      <c r="BA13" s="256"/>
      <c r="BB13" s="269" t="s">
        <v>2354</v>
      </c>
      <c r="BC13" s="270">
        <v>45737</v>
      </c>
      <c r="BD13" s="256" t="s">
        <v>2351</v>
      </c>
      <c r="BE13" s="256" t="s">
        <v>186</v>
      </c>
      <c r="BF13" s="256">
        <v>2</v>
      </c>
      <c r="BG13" s="256"/>
      <c r="BH13" s="256"/>
      <c r="BI13" s="256"/>
      <c r="BJ13" s="256"/>
      <c r="BK13" s="256"/>
      <c r="BL13" s="256"/>
      <c r="BM13" s="256">
        <v>2</v>
      </c>
      <c r="BN13" s="256">
        <v>0</v>
      </c>
      <c r="BO13" s="265" t="s">
        <v>615</v>
      </c>
      <c r="BP13" s="265">
        <v>2</v>
      </c>
      <c r="BQ13" s="271" t="s">
        <v>2433</v>
      </c>
      <c r="BR13" s="262">
        <v>2</v>
      </c>
      <c r="BS13" s="256" t="s">
        <v>23</v>
      </c>
      <c r="BT13" s="262" t="s">
        <v>169</v>
      </c>
      <c r="BU13" s="256"/>
      <c r="BV13" s="256" t="s">
        <v>1843</v>
      </c>
      <c r="BW13" s="256" t="s">
        <v>2503</v>
      </c>
      <c r="BX13" s="262">
        <v>2</v>
      </c>
      <c r="BY13" s="256" t="s">
        <v>158</v>
      </c>
      <c r="BZ13" s="256" t="s">
        <v>2623</v>
      </c>
      <c r="CA13" s="256">
        <v>2</v>
      </c>
      <c r="CB13" s="256">
        <v>0</v>
      </c>
      <c r="CC13" s="256">
        <v>0</v>
      </c>
      <c r="CD13" s="256">
        <v>0</v>
      </c>
      <c r="CE13" s="266">
        <v>2</v>
      </c>
      <c r="CF13" s="266" t="s">
        <v>169</v>
      </c>
      <c r="CG13" s="265" t="s">
        <v>169</v>
      </c>
      <c r="CH13" s="265" t="s">
        <v>2643</v>
      </c>
      <c r="CI13" s="266">
        <v>2</v>
      </c>
      <c r="CJ13" s="266">
        <v>2</v>
      </c>
      <c r="CK13" s="267">
        <v>2025.0369000000001</v>
      </c>
      <c r="CL13" s="265" t="s">
        <v>23</v>
      </c>
      <c r="CM13" s="265">
        <v>2</v>
      </c>
      <c r="CN13" s="265" t="s">
        <v>290</v>
      </c>
      <c r="CO13" s="265">
        <v>0</v>
      </c>
      <c r="CP13" s="266" t="s">
        <v>290</v>
      </c>
      <c r="CQ13" s="260" t="s">
        <v>1725</v>
      </c>
      <c r="CR13" s="260"/>
      <c r="CS13" s="260"/>
      <c r="CT13" s="260" t="s">
        <v>1997</v>
      </c>
      <c r="CU13" s="260" t="s">
        <v>1714</v>
      </c>
      <c r="CV13" s="260" t="s">
        <v>1701</v>
      </c>
      <c r="CW13" s="255" t="s">
        <v>2000</v>
      </c>
      <c r="CX13" s="255"/>
      <c r="CY13" s="255"/>
      <c r="CZ13" s="255"/>
      <c r="DA13" s="255"/>
      <c r="DB13" s="255"/>
      <c r="DC13" s="255"/>
      <c r="DD13" s="255"/>
      <c r="DE13" s="255"/>
      <c r="DF13" s="255"/>
      <c r="DG13" s="255"/>
      <c r="DH13" s="255"/>
      <c r="DI13" s="255" t="s">
        <v>2280</v>
      </c>
      <c r="DJ13" s="255"/>
      <c r="DK13" s="255"/>
      <c r="DL13" s="255">
        <f t="shared" si="1"/>
        <v>1</v>
      </c>
    </row>
    <row r="14" spans="1:116" ht="26.25" thickBot="1" x14ac:dyDescent="0.25">
      <c r="A14" s="196"/>
      <c r="B14" s="197" t="s">
        <v>1717</v>
      </c>
      <c r="C14" s="198">
        <v>372</v>
      </c>
      <c r="D14" s="199" t="s">
        <v>1720</v>
      </c>
      <c r="E14" s="200" t="s">
        <v>480</v>
      </c>
      <c r="F14" s="200" t="s">
        <v>1352</v>
      </c>
      <c r="G14" s="200" t="s">
        <v>2230</v>
      </c>
      <c r="H14" s="200" t="s">
        <v>2593</v>
      </c>
      <c r="I14" s="201" t="s">
        <v>2231</v>
      </c>
      <c r="J14" s="200" t="s">
        <v>2104</v>
      </c>
      <c r="K14" s="202" t="s">
        <v>1783</v>
      </c>
      <c r="L14" s="202"/>
      <c r="M14" s="198" t="s">
        <v>1972</v>
      </c>
      <c r="N14" s="198" t="s">
        <v>1972</v>
      </c>
      <c r="O14" s="198" t="s">
        <v>1972</v>
      </c>
      <c r="P14" s="198" t="s">
        <v>1972</v>
      </c>
      <c r="Q14" s="198" t="s">
        <v>1972</v>
      </c>
      <c r="R14" s="198" t="s">
        <v>1972</v>
      </c>
      <c r="S14" s="198" t="s">
        <v>1972</v>
      </c>
      <c r="T14" s="198" t="s">
        <v>1973</v>
      </c>
      <c r="U14" s="202"/>
      <c r="V14" s="202"/>
      <c r="W14" s="202"/>
      <c r="X14" s="202"/>
      <c r="Y14" s="202"/>
      <c r="Z14" s="202"/>
      <c r="AA14" s="198">
        <v>11</v>
      </c>
      <c r="AB14" s="198">
        <v>116</v>
      </c>
      <c r="AC14" s="203">
        <f t="shared" si="2"/>
        <v>121.5</v>
      </c>
      <c r="AD14" s="204">
        <v>2</v>
      </c>
      <c r="AE14" s="204" t="s">
        <v>1986</v>
      </c>
      <c r="AF14" s="204"/>
      <c r="AG14" s="204"/>
      <c r="AH14" s="205">
        <v>0.2</v>
      </c>
      <c r="AI14" s="204" t="s">
        <v>298</v>
      </c>
      <c r="AJ14" s="204" t="s">
        <v>2066</v>
      </c>
      <c r="AK14" s="205" t="s">
        <v>1772</v>
      </c>
      <c r="AL14" s="205" t="s">
        <v>1721</v>
      </c>
      <c r="AM14" s="205" t="s">
        <v>1808</v>
      </c>
      <c r="AN14" s="205">
        <v>0.2</v>
      </c>
      <c r="AO14" s="205">
        <v>0</v>
      </c>
      <c r="AP14" s="205">
        <v>0.2</v>
      </c>
      <c r="AQ14" s="205">
        <v>0.2</v>
      </c>
      <c r="AR14" s="205">
        <v>0</v>
      </c>
      <c r="AS14" s="205">
        <v>0</v>
      </c>
      <c r="AT14" s="205" t="s">
        <v>952</v>
      </c>
      <c r="AU14" s="198" t="s">
        <v>2221</v>
      </c>
      <c r="AV14" s="198">
        <v>0</v>
      </c>
      <c r="AW14" s="198"/>
      <c r="AX14" s="198"/>
      <c r="AY14" s="198"/>
      <c r="AZ14" s="198"/>
      <c r="BA14" s="198"/>
      <c r="BB14" s="206" t="s">
        <v>2355</v>
      </c>
      <c r="BC14" s="207">
        <v>45737</v>
      </c>
      <c r="BD14" s="198" t="s">
        <v>2351</v>
      </c>
      <c r="BE14" s="198" t="s">
        <v>186</v>
      </c>
      <c r="BF14" s="198">
        <v>2</v>
      </c>
      <c r="BG14" s="198"/>
      <c r="BH14" s="198"/>
      <c r="BI14" s="198"/>
      <c r="BJ14" s="198"/>
      <c r="BK14" s="198"/>
      <c r="BL14" s="198"/>
      <c r="BM14" s="198">
        <v>2</v>
      </c>
      <c r="BN14" s="198">
        <v>1</v>
      </c>
      <c r="BO14" s="208" t="s">
        <v>615</v>
      </c>
      <c r="BP14" s="208">
        <v>2</v>
      </c>
      <c r="BQ14" s="209" t="s">
        <v>2434</v>
      </c>
      <c r="BR14" s="204">
        <v>2</v>
      </c>
      <c r="BS14" s="198" t="s">
        <v>23</v>
      </c>
      <c r="BT14" s="204" t="s">
        <v>169</v>
      </c>
      <c r="BU14" s="198"/>
      <c r="BV14" s="198" t="s">
        <v>1844</v>
      </c>
      <c r="BW14" s="198" t="s">
        <v>2504</v>
      </c>
      <c r="BX14" s="204">
        <v>2</v>
      </c>
      <c r="BY14" s="198" t="s">
        <v>158</v>
      </c>
      <c r="BZ14" s="198" t="s">
        <v>2624</v>
      </c>
      <c r="CA14" s="198">
        <v>2</v>
      </c>
      <c r="CB14" s="198">
        <v>0</v>
      </c>
      <c r="CC14" s="198">
        <v>0</v>
      </c>
      <c r="CD14" s="198">
        <v>0</v>
      </c>
      <c r="CE14" s="210">
        <v>2</v>
      </c>
      <c r="CF14" s="210" t="s">
        <v>169</v>
      </c>
      <c r="CG14" s="208" t="s">
        <v>169</v>
      </c>
      <c r="CH14" s="208" t="s">
        <v>2643</v>
      </c>
      <c r="CI14" s="210">
        <v>2</v>
      </c>
      <c r="CJ14" s="210">
        <v>2</v>
      </c>
      <c r="CK14" s="211">
        <v>2025.037</v>
      </c>
      <c r="CL14" s="208" t="s">
        <v>23</v>
      </c>
      <c r="CM14" s="208">
        <v>2</v>
      </c>
      <c r="CN14" s="208" t="s">
        <v>290</v>
      </c>
      <c r="CO14" s="208">
        <v>0</v>
      </c>
      <c r="CP14" s="210" t="s">
        <v>290</v>
      </c>
      <c r="CQ14" s="202" t="s">
        <v>1784</v>
      </c>
      <c r="CR14" s="202"/>
      <c r="CS14" s="202"/>
      <c r="CT14" s="202" t="s">
        <v>1998</v>
      </c>
      <c r="CU14" s="202" t="s">
        <v>1714</v>
      </c>
      <c r="CV14" s="202" t="s">
        <v>1701</v>
      </c>
      <c r="CW14" s="197" t="s">
        <v>2001</v>
      </c>
      <c r="CX14" s="197"/>
      <c r="CY14" s="197"/>
      <c r="CZ14" s="197"/>
      <c r="DA14" s="197"/>
      <c r="DB14" s="197"/>
      <c r="DC14" s="197"/>
      <c r="DD14" s="197"/>
      <c r="DE14" s="197"/>
      <c r="DF14" s="197"/>
      <c r="DG14" s="197"/>
      <c r="DH14" s="197"/>
      <c r="DI14" s="197" t="s">
        <v>2280</v>
      </c>
      <c r="DJ14" s="197"/>
      <c r="DK14" s="197"/>
      <c r="DL14" s="197">
        <f t="shared" si="1"/>
        <v>1</v>
      </c>
    </row>
    <row r="15" spans="1:116" s="195" customFormat="1" ht="14.25" thickTop="1" thickBot="1" x14ac:dyDescent="0.25">
      <c r="A15" s="311"/>
      <c r="B15" s="178"/>
      <c r="C15" s="179"/>
      <c r="D15" s="180" t="s">
        <v>36</v>
      </c>
      <c r="E15" s="181"/>
      <c r="F15" s="181"/>
      <c r="G15" s="181"/>
      <c r="H15" s="181"/>
      <c r="I15" s="182"/>
      <c r="J15" s="181"/>
      <c r="K15" s="213"/>
      <c r="L15" s="213"/>
      <c r="M15" s="213"/>
      <c r="N15" s="213"/>
      <c r="O15" s="213"/>
      <c r="P15" s="213"/>
      <c r="Q15" s="213"/>
      <c r="R15" s="213"/>
      <c r="S15" s="213"/>
      <c r="T15" s="213"/>
      <c r="U15" s="213"/>
      <c r="V15" s="213"/>
      <c r="W15" s="213"/>
      <c r="X15" s="213"/>
      <c r="Y15" s="213"/>
      <c r="Z15" s="213"/>
      <c r="AA15" s="213"/>
      <c r="AB15" s="179"/>
      <c r="AC15" s="214"/>
      <c r="AD15" s="189"/>
      <c r="AE15" s="189"/>
      <c r="AF15" s="189"/>
      <c r="AG15" s="189"/>
      <c r="AH15" s="187"/>
      <c r="AI15" s="189"/>
      <c r="AJ15" s="189"/>
      <c r="AK15" s="187"/>
      <c r="AL15" s="187"/>
      <c r="AM15" s="187"/>
      <c r="AN15" s="187"/>
      <c r="AO15" s="187"/>
      <c r="AP15" s="187"/>
      <c r="AQ15" s="187"/>
      <c r="AR15" s="187"/>
      <c r="AS15" s="187"/>
      <c r="AT15" s="187"/>
      <c r="AU15" s="179"/>
      <c r="AV15" s="189"/>
      <c r="AW15" s="189"/>
      <c r="AX15" s="189"/>
      <c r="AY15" s="189"/>
      <c r="AZ15" s="189"/>
      <c r="BA15" s="189"/>
      <c r="BB15" s="179"/>
      <c r="BC15" s="179"/>
      <c r="BD15" s="179"/>
      <c r="BE15" s="179"/>
      <c r="BF15" s="189"/>
      <c r="BG15" s="189"/>
      <c r="BH15" s="189"/>
      <c r="BI15" s="189"/>
      <c r="BJ15" s="189"/>
      <c r="BK15" s="189"/>
      <c r="BL15" s="189"/>
      <c r="BM15" s="189"/>
      <c r="BN15" s="189"/>
      <c r="BO15" s="190"/>
      <c r="BP15" s="190"/>
      <c r="BQ15" s="191"/>
      <c r="BR15" s="192"/>
      <c r="BS15" s="182"/>
      <c r="BT15" s="192"/>
      <c r="BU15" s="179"/>
      <c r="BV15" s="179"/>
      <c r="BW15" s="179"/>
      <c r="BX15" s="189"/>
      <c r="BY15" s="179"/>
      <c r="BZ15" s="179"/>
      <c r="CA15" s="179"/>
      <c r="CB15" s="179"/>
      <c r="CC15" s="179"/>
      <c r="CD15" s="179"/>
      <c r="CE15" s="193"/>
      <c r="CF15" s="193"/>
      <c r="CG15" s="190"/>
      <c r="CH15" s="190"/>
      <c r="CI15" s="193"/>
      <c r="CJ15" s="193"/>
      <c r="CK15" s="194"/>
      <c r="CL15" s="190"/>
      <c r="CM15" s="190"/>
      <c r="CN15" s="190"/>
      <c r="CO15" s="190"/>
      <c r="CP15" s="193"/>
      <c r="CQ15" s="181"/>
      <c r="CR15" s="181"/>
      <c r="CS15" s="181"/>
      <c r="CT15" s="181"/>
      <c r="CU15" s="181"/>
      <c r="CV15" s="181"/>
      <c r="CW15" s="178"/>
      <c r="CX15" s="178"/>
      <c r="CY15" s="178"/>
      <c r="CZ15" s="178"/>
      <c r="DA15" s="178"/>
      <c r="DB15" s="178"/>
      <c r="DC15" s="178"/>
      <c r="DD15" s="178"/>
      <c r="DE15" s="178"/>
      <c r="DF15" s="178"/>
      <c r="DG15" s="178"/>
      <c r="DH15" s="178"/>
      <c r="DI15" s="178"/>
      <c r="DJ15" s="178"/>
      <c r="DK15" s="178"/>
      <c r="DL15" s="178"/>
    </row>
    <row r="16" spans="1:116" s="253" customFormat="1" ht="26.25" thickTop="1" x14ac:dyDescent="0.2">
      <c r="A16" s="237"/>
      <c r="B16" s="238" t="s">
        <v>52</v>
      </c>
      <c r="C16" s="239">
        <v>373</v>
      </c>
      <c r="D16" s="272" t="s">
        <v>0</v>
      </c>
      <c r="E16" s="244" t="s">
        <v>480</v>
      </c>
      <c r="F16" s="241" t="s">
        <v>1352</v>
      </c>
      <c r="G16" s="241" t="s">
        <v>2230</v>
      </c>
      <c r="H16" s="241" t="s">
        <v>2593</v>
      </c>
      <c r="I16" s="242" t="s">
        <v>2231</v>
      </c>
      <c r="J16" s="241" t="s">
        <v>2105</v>
      </c>
      <c r="K16" s="244" t="s">
        <v>1071</v>
      </c>
      <c r="L16" s="244" t="s">
        <v>548</v>
      </c>
      <c r="M16" s="239" t="s">
        <v>1973</v>
      </c>
      <c r="N16" s="239" t="s">
        <v>1973</v>
      </c>
      <c r="O16" s="239" t="s">
        <v>1973</v>
      </c>
      <c r="P16" s="239" t="s">
        <v>1973</v>
      </c>
      <c r="Q16" s="239" t="s">
        <v>1979</v>
      </c>
      <c r="R16" s="239" t="s">
        <v>1973</v>
      </c>
      <c r="S16" s="239" t="s">
        <v>1980</v>
      </c>
      <c r="T16" s="239"/>
      <c r="U16" s="239"/>
      <c r="V16" s="239"/>
      <c r="W16" s="239"/>
      <c r="X16" s="239"/>
      <c r="Y16" s="239"/>
      <c r="Z16" s="239"/>
      <c r="AA16" s="239">
        <f>4+4+4+4+5+4+8</f>
        <v>33</v>
      </c>
      <c r="AB16" s="239">
        <v>104</v>
      </c>
      <c r="AC16" s="245">
        <f t="shared" ref="AC16:AC30" si="3">AB16+(AA16*(30/60))</f>
        <v>120.5</v>
      </c>
      <c r="AD16" s="246">
        <v>2</v>
      </c>
      <c r="AE16" s="246" t="s">
        <v>1984</v>
      </c>
      <c r="AF16" s="246" t="s">
        <v>1984</v>
      </c>
      <c r="AG16" s="246" t="s">
        <v>1984</v>
      </c>
      <c r="AH16" s="247">
        <v>0.2</v>
      </c>
      <c r="AI16" s="246" t="s">
        <v>298</v>
      </c>
      <c r="AJ16" s="246" t="s">
        <v>2054</v>
      </c>
      <c r="AK16" s="247" t="s">
        <v>1754</v>
      </c>
      <c r="AL16" s="247" t="s">
        <v>1098</v>
      </c>
      <c r="AM16" s="247" t="s">
        <v>678</v>
      </c>
      <c r="AN16" s="247">
        <v>0.2</v>
      </c>
      <c r="AO16" s="247">
        <v>0.2</v>
      </c>
      <c r="AP16" s="247">
        <v>0.2</v>
      </c>
      <c r="AQ16" s="247">
        <v>0.2</v>
      </c>
      <c r="AR16" s="247">
        <v>0.2</v>
      </c>
      <c r="AS16" s="247">
        <v>0.2</v>
      </c>
      <c r="AT16" s="247" t="s">
        <v>952</v>
      </c>
      <c r="AU16" s="239" t="s">
        <v>1400</v>
      </c>
      <c r="AV16" s="246">
        <v>2</v>
      </c>
      <c r="AW16" s="246"/>
      <c r="AX16" s="246"/>
      <c r="AY16" s="246"/>
      <c r="AZ16" s="246"/>
      <c r="BA16" s="246"/>
      <c r="BB16" s="239" t="s">
        <v>2356</v>
      </c>
      <c r="BC16" s="273">
        <v>45737</v>
      </c>
      <c r="BD16" s="239" t="s">
        <v>2423</v>
      </c>
      <c r="BE16" s="239" t="s">
        <v>186</v>
      </c>
      <c r="BF16" s="246">
        <v>2</v>
      </c>
      <c r="BG16" s="246"/>
      <c r="BH16" s="246"/>
      <c r="BI16" s="246"/>
      <c r="BJ16" s="246"/>
      <c r="BK16" s="246"/>
      <c r="BL16" s="246"/>
      <c r="BM16" s="246">
        <v>2</v>
      </c>
      <c r="BN16" s="246">
        <v>2</v>
      </c>
      <c r="BO16" s="250" t="s">
        <v>615</v>
      </c>
      <c r="BP16" s="250">
        <v>2</v>
      </c>
      <c r="BQ16" s="246" t="s">
        <v>2435</v>
      </c>
      <c r="BR16" s="246">
        <v>2</v>
      </c>
      <c r="BS16" s="239" t="s">
        <v>23</v>
      </c>
      <c r="BT16" s="246" t="s">
        <v>169</v>
      </c>
      <c r="BU16" s="239" t="s">
        <v>142</v>
      </c>
      <c r="BV16" s="239" t="s">
        <v>1845</v>
      </c>
      <c r="BW16" s="239" t="s">
        <v>2505</v>
      </c>
      <c r="BX16" s="246">
        <f>AN16*10</f>
        <v>2</v>
      </c>
      <c r="BY16" s="239" t="s">
        <v>149</v>
      </c>
      <c r="BZ16" s="239" t="s">
        <v>1324</v>
      </c>
      <c r="CA16" s="239">
        <v>2</v>
      </c>
      <c r="CB16" s="239">
        <v>2</v>
      </c>
      <c r="CC16" s="239">
        <v>2</v>
      </c>
      <c r="CD16" s="239">
        <v>2</v>
      </c>
      <c r="CE16" s="251">
        <v>2</v>
      </c>
      <c r="CF16" s="251">
        <v>0.2</v>
      </c>
      <c r="CG16" s="250" t="s">
        <v>1015</v>
      </c>
      <c r="CH16" s="250" t="s">
        <v>2644</v>
      </c>
      <c r="CI16" s="251">
        <v>2</v>
      </c>
      <c r="CJ16" s="251">
        <v>2</v>
      </c>
      <c r="CK16" s="252">
        <v>2025.0331000000001</v>
      </c>
      <c r="CL16" s="250" t="s">
        <v>316</v>
      </c>
      <c r="CM16" s="250">
        <v>2</v>
      </c>
      <c r="CN16" s="250" t="s">
        <v>289</v>
      </c>
      <c r="CO16" s="250">
        <v>2</v>
      </c>
      <c r="CP16" s="251" t="s">
        <v>290</v>
      </c>
      <c r="CQ16" s="238" t="s">
        <v>360</v>
      </c>
      <c r="CR16" s="238" t="s">
        <v>1536</v>
      </c>
      <c r="CS16" s="238" t="s">
        <v>1537</v>
      </c>
      <c r="CT16" s="238" t="s">
        <v>974</v>
      </c>
      <c r="CU16" s="238" t="s">
        <v>1712</v>
      </c>
      <c r="CV16" s="238" t="s">
        <v>1702</v>
      </c>
      <c r="CW16" s="238" t="s">
        <v>361</v>
      </c>
      <c r="CX16" s="238" t="s">
        <v>362</v>
      </c>
      <c r="CY16" s="238" t="s">
        <v>363</v>
      </c>
      <c r="CZ16" s="238" t="s">
        <v>364</v>
      </c>
      <c r="DA16" s="238" t="s">
        <v>365</v>
      </c>
      <c r="DB16" s="238" t="s">
        <v>366</v>
      </c>
      <c r="DC16" s="238" t="s">
        <v>367</v>
      </c>
      <c r="DD16" s="238" t="s">
        <v>368</v>
      </c>
      <c r="DE16" s="238"/>
      <c r="DF16" s="238"/>
      <c r="DG16" s="238"/>
      <c r="DH16" s="238"/>
      <c r="DI16" s="238" t="s">
        <v>2281</v>
      </c>
      <c r="DJ16" s="238"/>
      <c r="DK16" s="238"/>
      <c r="DL16" s="238">
        <f t="shared" si="1"/>
        <v>8</v>
      </c>
    </row>
    <row r="17" spans="1:116" ht="25.5" x14ac:dyDescent="0.2">
      <c r="A17" s="111"/>
      <c r="B17" s="132" t="s">
        <v>53</v>
      </c>
      <c r="C17" s="133">
        <v>374</v>
      </c>
      <c r="D17" s="134" t="s">
        <v>37</v>
      </c>
      <c r="E17" s="135" t="s">
        <v>480</v>
      </c>
      <c r="F17" s="121" t="s">
        <v>1352</v>
      </c>
      <c r="G17" s="121" t="s">
        <v>2230</v>
      </c>
      <c r="H17" s="121" t="s">
        <v>2593</v>
      </c>
      <c r="I17" s="122" t="s">
        <v>2231</v>
      </c>
      <c r="J17" s="121" t="s">
        <v>2106</v>
      </c>
      <c r="K17" s="124" t="s">
        <v>1157</v>
      </c>
      <c r="L17" s="135" t="s">
        <v>549</v>
      </c>
      <c r="M17" s="133" t="s">
        <v>1973</v>
      </c>
      <c r="N17" s="133" t="s">
        <v>1973</v>
      </c>
      <c r="O17" s="133" t="s">
        <v>1979</v>
      </c>
      <c r="P17" s="133" t="s">
        <v>1973</v>
      </c>
      <c r="Q17" s="133" t="s">
        <v>1979</v>
      </c>
      <c r="R17" s="133" t="s">
        <v>1981</v>
      </c>
      <c r="S17" s="133"/>
      <c r="T17" s="133"/>
      <c r="U17" s="133"/>
      <c r="V17" s="133"/>
      <c r="W17" s="133"/>
      <c r="X17" s="133"/>
      <c r="Y17" s="133"/>
      <c r="Z17" s="133"/>
      <c r="AA17" s="113">
        <v>32</v>
      </c>
      <c r="AB17" s="133">
        <v>81</v>
      </c>
      <c r="AC17" s="125">
        <f t="shared" si="3"/>
        <v>97</v>
      </c>
      <c r="AD17" s="136">
        <v>1.5</v>
      </c>
      <c r="AE17" s="136" t="s">
        <v>1984</v>
      </c>
      <c r="AF17" s="136" t="s">
        <v>1984</v>
      </c>
      <c r="AG17" s="136" t="s">
        <v>1984</v>
      </c>
      <c r="AH17" s="137">
        <v>0.15</v>
      </c>
      <c r="AI17" s="136" t="s">
        <v>298</v>
      </c>
      <c r="AJ17" s="136" t="s">
        <v>2010</v>
      </c>
      <c r="AK17" s="137" t="s">
        <v>1777</v>
      </c>
      <c r="AL17" s="137" t="s">
        <v>1097</v>
      </c>
      <c r="AM17" s="137" t="s">
        <v>658</v>
      </c>
      <c r="AN17" s="137">
        <v>0.15</v>
      </c>
      <c r="AO17" s="137">
        <v>0.15</v>
      </c>
      <c r="AP17" s="137">
        <v>0.15</v>
      </c>
      <c r="AQ17" s="137">
        <v>0.15</v>
      </c>
      <c r="AR17" s="137">
        <v>0.15</v>
      </c>
      <c r="AS17" s="137">
        <v>0.15</v>
      </c>
      <c r="AT17" s="137" t="s">
        <v>952</v>
      </c>
      <c r="AU17" s="133" t="s">
        <v>1427</v>
      </c>
      <c r="AV17" s="136">
        <v>1.5</v>
      </c>
      <c r="AW17" s="136"/>
      <c r="AX17" s="136"/>
      <c r="AY17" s="136"/>
      <c r="AZ17" s="136"/>
      <c r="BA17" s="136"/>
      <c r="BB17" s="133" t="s">
        <v>2357</v>
      </c>
      <c r="BC17" s="138">
        <v>45737</v>
      </c>
      <c r="BD17" s="133" t="s">
        <v>2423</v>
      </c>
      <c r="BE17" s="133" t="s">
        <v>186</v>
      </c>
      <c r="BF17" s="136">
        <v>1.5</v>
      </c>
      <c r="BG17" s="136"/>
      <c r="BH17" s="136"/>
      <c r="BI17" s="136"/>
      <c r="BJ17" s="136"/>
      <c r="BK17" s="136"/>
      <c r="BL17" s="136"/>
      <c r="BM17" s="136">
        <v>1.5</v>
      </c>
      <c r="BN17" s="136">
        <v>1.5</v>
      </c>
      <c r="BO17" s="139" t="s">
        <v>614</v>
      </c>
      <c r="BP17" s="139">
        <v>1.5</v>
      </c>
      <c r="BQ17" s="136" t="s">
        <v>2436</v>
      </c>
      <c r="BR17" s="136">
        <v>1.5</v>
      </c>
      <c r="BS17" s="133" t="s">
        <v>23</v>
      </c>
      <c r="BT17" s="136" t="s">
        <v>169</v>
      </c>
      <c r="BU17" s="133" t="s">
        <v>127</v>
      </c>
      <c r="BV17" s="133" t="s">
        <v>1846</v>
      </c>
      <c r="BW17" s="133" t="s">
        <v>2506</v>
      </c>
      <c r="BX17" s="136">
        <f>AN17*10</f>
        <v>1.5</v>
      </c>
      <c r="BY17" s="133" t="s">
        <v>149</v>
      </c>
      <c r="BZ17" s="133" t="s">
        <v>1325</v>
      </c>
      <c r="CA17" s="133">
        <v>1.5</v>
      </c>
      <c r="CB17" s="133">
        <v>1.5</v>
      </c>
      <c r="CC17" s="133">
        <v>1.5</v>
      </c>
      <c r="CD17" s="133">
        <v>1.5</v>
      </c>
      <c r="CE17" s="140">
        <v>1.5</v>
      </c>
      <c r="CF17" s="140">
        <v>0.1</v>
      </c>
      <c r="CG17" s="139" t="s">
        <v>1019</v>
      </c>
      <c r="CH17" s="139" t="s">
        <v>2644</v>
      </c>
      <c r="CI17" s="140">
        <v>1.5</v>
      </c>
      <c r="CJ17" s="140">
        <v>1.5</v>
      </c>
      <c r="CK17" s="141">
        <v>2025.0332000000001</v>
      </c>
      <c r="CL17" s="139" t="s">
        <v>316</v>
      </c>
      <c r="CM17" s="139">
        <v>1.5</v>
      </c>
      <c r="CN17" s="139" t="s">
        <v>289</v>
      </c>
      <c r="CO17" s="139">
        <v>1.5</v>
      </c>
      <c r="CP17" s="140" t="s">
        <v>290</v>
      </c>
      <c r="CQ17" s="124" t="s">
        <v>370</v>
      </c>
      <c r="CR17" s="124" t="s">
        <v>1538</v>
      </c>
      <c r="CS17" s="124" t="s">
        <v>1539</v>
      </c>
      <c r="CT17" s="124" t="s">
        <v>975</v>
      </c>
      <c r="CU17" s="124" t="s">
        <v>1712</v>
      </c>
      <c r="CV17" s="124" t="s">
        <v>1702</v>
      </c>
      <c r="CW17" s="124" t="s">
        <v>373</v>
      </c>
      <c r="CX17" s="124" t="s">
        <v>371</v>
      </c>
      <c r="CY17" s="124" t="s">
        <v>374</v>
      </c>
      <c r="CZ17" s="124" t="s">
        <v>375</v>
      </c>
      <c r="DA17" s="124" t="s">
        <v>372</v>
      </c>
      <c r="DB17" s="124" t="s">
        <v>376</v>
      </c>
      <c r="DC17" s="112"/>
      <c r="DD17" s="112"/>
      <c r="DE17" s="112"/>
      <c r="DF17" s="112"/>
      <c r="DG17" s="112"/>
      <c r="DH17" s="112"/>
      <c r="DI17" s="112" t="s">
        <v>2281</v>
      </c>
      <c r="DJ17" s="112"/>
      <c r="DK17" s="112"/>
      <c r="DL17" s="112">
        <f t="shared" si="1"/>
        <v>6</v>
      </c>
    </row>
    <row r="18" spans="1:116" s="253" customFormat="1" ht="25.5" x14ac:dyDescent="0.2">
      <c r="A18" s="254"/>
      <c r="B18" s="255" t="s">
        <v>54</v>
      </c>
      <c r="C18" s="256">
        <v>375</v>
      </c>
      <c r="D18" s="274" t="s">
        <v>1923</v>
      </c>
      <c r="E18" s="260" t="s">
        <v>480</v>
      </c>
      <c r="F18" s="258" t="s">
        <v>1352</v>
      </c>
      <c r="G18" s="258" t="s">
        <v>2230</v>
      </c>
      <c r="H18" s="258" t="s">
        <v>2593</v>
      </c>
      <c r="I18" s="259" t="s">
        <v>2231</v>
      </c>
      <c r="J18" s="258" t="s">
        <v>2107</v>
      </c>
      <c r="K18" s="260" t="s">
        <v>1158</v>
      </c>
      <c r="L18" s="260" t="s">
        <v>563</v>
      </c>
      <c r="M18" s="256" t="s">
        <v>1973</v>
      </c>
      <c r="N18" s="256" t="s">
        <v>1976</v>
      </c>
      <c r="O18" s="256" t="s">
        <v>1977</v>
      </c>
      <c r="P18" s="256" t="s">
        <v>1976</v>
      </c>
      <c r="Q18" s="256" t="s">
        <v>1976</v>
      </c>
      <c r="R18" s="256" t="s">
        <v>1981</v>
      </c>
      <c r="S18" s="256" t="s">
        <v>1972</v>
      </c>
      <c r="T18" s="256" t="s">
        <v>1980</v>
      </c>
      <c r="U18" s="256" t="s">
        <v>1977</v>
      </c>
      <c r="V18" s="256"/>
      <c r="W18" s="256"/>
      <c r="X18" s="256"/>
      <c r="Y18" s="256"/>
      <c r="Z18" s="256"/>
      <c r="AA18" s="256">
        <v>38</v>
      </c>
      <c r="AB18" s="256">
        <v>107</v>
      </c>
      <c r="AC18" s="261">
        <f t="shared" si="3"/>
        <v>126</v>
      </c>
      <c r="AD18" s="262">
        <v>2</v>
      </c>
      <c r="AE18" s="262" t="s">
        <v>1984</v>
      </c>
      <c r="AF18" s="262"/>
      <c r="AG18" s="262"/>
      <c r="AH18" s="263">
        <v>0.2</v>
      </c>
      <c r="AI18" s="262" t="s">
        <v>298</v>
      </c>
      <c r="AJ18" s="262" t="s">
        <v>2011</v>
      </c>
      <c r="AK18" s="263" t="s">
        <v>1769</v>
      </c>
      <c r="AL18" s="263" t="s">
        <v>1076</v>
      </c>
      <c r="AM18" s="263" t="s">
        <v>718</v>
      </c>
      <c r="AN18" s="263">
        <v>0.2</v>
      </c>
      <c r="AO18" s="263">
        <v>0.2</v>
      </c>
      <c r="AP18" s="263">
        <v>0.2</v>
      </c>
      <c r="AQ18" s="263">
        <v>0.2</v>
      </c>
      <c r="AR18" s="263">
        <v>0.2</v>
      </c>
      <c r="AS18" s="263">
        <v>0.2</v>
      </c>
      <c r="AT18" s="263" t="s">
        <v>952</v>
      </c>
      <c r="AU18" s="256" t="s">
        <v>1401</v>
      </c>
      <c r="AV18" s="262">
        <v>2</v>
      </c>
      <c r="AW18" s="262"/>
      <c r="AX18" s="262"/>
      <c r="AY18" s="262"/>
      <c r="AZ18" s="262"/>
      <c r="BA18" s="262"/>
      <c r="BB18" s="256" t="s">
        <v>2358</v>
      </c>
      <c r="BC18" s="264">
        <v>45737</v>
      </c>
      <c r="BD18" s="256" t="s">
        <v>2423</v>
      </c>
      <c r="BE18" s="256" t="s">
        <v>186</v>
      </c>
      <c r="BF18" s="262">
        <v>2</v>
      </c>
      <c r="BG18" s="262"/>
      <c r="BH18" s="262"/>
      <c r="BI18" s="262"/>
      <c r="BJ18" s="262"/>
      <c r="BK18" s="262"/>
      <c r="BL18" s="262"/>
      <c r="BM18" s="262">
        <v>2</v>
      </c>
      <c r="BN18" s="262">
        <v>2</v>
      </c>
      <c r="BO18" s="265" t="s">
        <v>615</v>
      </c>
      <c r="BP18" s="265">
        <v>2</v>
      </c>
      <c r="BQ18" s="262" t="s">
        <v>2437</v>
      </c>
      <c r="BR18" s="262">
        <v>2</v>
      </c>
      <c r="BS18" s="256" t="s">
        <v>23</v>
      </c>
      <c r="BT18" s="262" t="s">
        <v>169</v>
      </c>
      <c r="BU18" s="256" t="s">
        <v>128</v>
      </c>
      <c r="BV18" s="256" t="s">
        <v>1847</v>
      </c>
      <c r="BW18" s="256" t="s">
        <v>2507</v>
      </c>
      <c r="BX18" s="262">
        <f>AN18*10</f>
        <v>2</v>
      </c>
      <c r="BY18" s="256" t="s">
        <v>149</v>
      </c>
      <c r="BZ18" s="256" t="s">
        <v>1326</v>
      </c>
      <c r="CA18" s="256">
        <v>2</v>
      </c>
      <c r="CB18" s="256">
        <v>2</v>
      </c>
      <c r="CC18" s="256">
        <v>2</v>
      </c>
      <c r="CD18" s="256">
        <v>2</v>
      </c>
      <c r="CE18" s="266">
        <v>2</v>
      </c>
      <c r="CF18" s="266">
        <v>0.2</v>
      </c>
      <c r="CG18" s="265" t="s">
        <v>1020</v>
      </c>
      <c r="CH18" s="265" t="s">
        <v>2644</v>
      </c>
      <c r="CI18" s="266">
        <v>2</v>
      </c>
      <c r="CJ18" s="266">
        <v>2</v>
      </c>
      <c r="CK18" s="267">
        <v>2025.0333000000001</v>
      </c>
      <c r="CL18" s="266" t="s">
        <v>950</v>
      </c>
      <c r="CM18" s="265">
        <v>2</v>
      </c>
      <c r="CN18" s="265" t="s">
        <v>289</v>
      </c>
      <c r="CO18" s="265">
        <v>2</v>
      </c>
      <c r="CP18" s="266" t="s">
        <v>290</v>
      </c>
      <c r="CQ18" s="260" t="s">
        <v>505</v>
      </c>
      <c r="CR18" s="260" t="s">
        <v>1540</v>
      </c>
      <c r="CS18" s="260" t="s">
        <v>1541</v>
      </c>
      <c r="CT18" s="260" t="s">
        <v>976</v>
      </c>
      <c r="CU18" s="260" t="s">
        <v>1713</v>
      </c>
      <c r="CV18" s="260" t="s">
        <v>1702</v>
      </c>
      <c r="CW18" s="255" t="s">
        <v>377</v>
      </c>
      <c r="CX18" s="255" t="s">
        <v>378</v>
      </c>
      <c r="CY18" s="255" t="s">
        <v>379</v>
      </c>
      <c r="CZ18" s="255" t="s">
        <v>380</v>
      </c>
      <c r="DA18" s="255" t="s">
        <v>381</v>
      </c>
      <c r="DB18" s="255"/>
      <c r="DC18" s="255"/>
      <c r="DD18" s="255"/>
      <c r="DE18" s="255"/>
      <c r="DF18" s="255"/>
      <c r="DG18" s="255"/>
      <c r="DH18" s="255"/>
      <c r="DI18" s="255" t="s">
        <v>2282</v>
      </c>
      <c r="DJ18" s="255"/>
      <c r="DK18" s="255"/>
      <c r="DL18" s="255">
        <f t="shared" si="1"/>
        <v>5</v>
      </c>
    </row>
    <row r="19" spans="1:116" ht="26.25" x14ac:dyDescent="0.25">
      <c r="A19" s="111"/>
      <c r="B19" s="112" t="s">
        <v>55</v>
      </c>
      <c r="C19" s="113">
        <v>376</v>
      </c>
      <c r="D19" s="131" t="s">
        <v>1471</v>
      </c>
      <c r="E19" s="124" t="s">
        <v>163</v>
      </c>
      <c r="F19" s="124" t="s">
        <v>1353</v>
      </c>
      <c r="G19" s="124" t="s">
        <v>2232</v>
      </c>
      <c r="H19" s="123" t="s">
        <v>2594</v>
      </c>
      <c r="I19" s="113" t="s">
        <v>2233</v>
      </c>
      <c r="J19" s="124" t="s">
        <v>2108</v>
      </c>
      <c r="K19" s="124" t="s">
        <v>1472</v>
      </c>
      <c r="L19" s="124" t="s">
        <v>568</v>
      </c>
      <c r="M19" s="113" t="s">
        <v>1973</v>
      </c>
      <c r="N19" s="113" t="s">
        <v>1973</v>
      </c>
      <c r="O19" s="113" t="s">
        <v>1979</v>
      </c>
      <c r="P19" s="113" t="s">
        <v>1973</v>
      </c>
      <c r="Q19" s="113" t="s">
        <v>1973</v>
      </c>
      <c r="R19" s="113"/>
      <c r="S19" s="113"/>
      <c r="T19" s="113"/>
      <c r="U19" s="113"/>
      <c r="V19" s="113"/>
      <c r="W19" s="113"/>
      <c r="X19" s="113"/>
      <c r="Y19" s="113"/>
      <c r="Z19" s="113"/>
      <c r="AA19" s="113">
        <v>21</v>
      </c>
      <c r="AB19" s="113">
        <v>73</v>
      </c>
      <c r="AC19" s="125">
        <f t="shared" si="3"/>
        <v>83.5</v>
      </c>
      <c r="AD19" s="116">
        <v>1.5</v>
      </c>
      <c r="AE19" s="116" t="s">
        <v>1984</v>
      </c>
      <c r="AF19" s="116" t="s">
        <v>1984</v>
      </c>
      <c r="AG19" s="116" t="s">
        <v>1984</v>
      </c>
      <c r="AH19" s="114">
        <v>0.15</v>
      </c>
      <c r="AI19" s="116" t="s">
        <v>298</v>
      </c>
      <c r="AJ19" s="116" t="s">
        <v>2063</v>
      </c>
      <c r="AK19" s="114" t="s">
        <v>1733</v>
      </c>
      <c r="AL19" s="114" t="s">
        <v>1494</v>
      </c>
      <c r="AM19" s="114" t="s">
        <v>1808</v>
      </c>
      <c r="AN19" s="114">
        <v>0.15</v>
      </c>
      <c r="AO19" s="114">
        <v>0.15</v>
      </c>
      <c r="AP19" s="114">
        <v>0.15</v>
      </c>
      <c r="AQ19" s="114">
        <v>0.15</v>
      </c>
      <c r="AR19" s="114">
        <v>0</v>
      </c>
      <c r="AS19" s="114">
        <v>0</v>
      </c>
      <c r="AT19" s="114" t="s">
        <v>952</v>
      </c>
      <c r="AU19" s="113" t="s">
        <v>1530</v>
      </c>
      <c r="AV19" s="116">
        <v>1.5</v>
      </c>
      <c r="AW19" s="116"/>
      <c r="AX19" s="116"/>
      <c r="AY19" s="116"/>
      <c r="AZ19" s="116"/>
      <c r="BA19" s="116"/>
      <c r="BB19" s="127" t="s">
        <v>2359</v>
      </c>
      <c r="BC19" s="127">
        <v>45737</v>
      </c>
      <c r="BD19" s="113" t="s">
        <v>2351</v>
      </c>
      <c r="BE19" s="113" t="s">
        <v>186</v>
      </c>
      <c r="BF19" s="116">
        <v>1.5</v>
      </c>
      <c r="BG19" s="116"/>
      <c r="BH19" s="116"/>
      <c r="BI19" s="116"/>
      <c r="BJ19" s="116"/>
      <c r="BK19" s="116"/>
      <c r="BL19" s="116"/>
      <c r="BM19" s="116">
        <v>1.5</v>
      </c>
      <c r="BN19" s="116">
        <v>1.5</v>
      </c>
      <c r="BO19" s="117" t="s">
        <v>612</v>
      </c>
      <c r="BP19" s="118">
        <v>1</v>
      </c>
      <c r="BQ19" s="116" t="s">
        <v>2438</v>
      </c>
      <c r="BR19" s="116">
        <v>1.5</v>
      </c>
      <c r="BS19" s="113" t="s">
        <v>23</v>
      </c>
      <c r="BT19" s="116" t="s">
        <v>169</v>
      </c>
      <c r="BU19" s="113"/>
      <c r="BV19" s="113" t="s">
        <v>1848</v>
      </c>
      <c r="BW19" s="113" t="s">
        <v>2508</v>
      </c>
      <c r="BX19" s="116">
        <v>1.5</v>
      </c>
      <c r="BY19" s="113" t="s">
        <v>158</v>
      </c>
      <c r="BZ19" s="113" t="s">
        <v>2625</v>
      </c>
      <c r="CA19" s="113">
        <v>1.5</v>
      </c>
      <c r="CB19" s="113">
        <v>1.5</v>
      </c>
      <c r="CC19" s="113">
        <v>1.5</v>
      </c>
      <c r="CD19" s="113">
        <v>1.5</v>
      </c>
      <c r="CE19" s="118">
        <v>1.5</v>
      </c>
      <c r="CF19" s="118" t="s">
        <v>169</v>
      </c>
      <c r="CG19" s="117" t="s">
        <v>169</v>
      </c>
      <c r="CH19" s="117" t="s">
        <v>2644</v>
      </c>
      <c r="CI19" s="118">
        <v>1.5</v>
      </c>
      <c r="CJ19" s="118">
        <v>0</v>
      </c>
      <c r="CK19" s="119">
        <v>2025.0334</v>
      </c>
      <c r="CL19" s="118" t="s">
        <v>318</v>
      </c>
      <c r="CM19" s="117">
        <v>1.5</v>
      </c>
      <c r="CN19" s="117" t="s">
        <v>289</v>
      </c>
      <c r="CO19" s="117">
        <v>1.5</v>
      </c>
      <c r="CP19" s="118" t="s">
        <v>290</v>
      </c>
      <c r="CQ19" s="124" t="s">
        <v>1491</v>
      </c>
      <c r="CR19" s="124" t="s">
        <v>1542</v>
      </c>
      <c r="CS19" s="124" t="s">
        <v>1543</v>
      </c>
      <c r="CT19" s="124" t="s">
        <v>1608</v>
      </c>
      <c r="CU19" s="124" t="s">
        <v>1712</v>
      </c>
      <c r="CV19" s="124" t="s">
        <v>324</v>
      </c>
      <c r="CW19" s="112" t="s">
        <v>1497</v>
      </c>
      <c r="CX19" s="112" t="s">
        <v>1498</v>
      </c>
      <c r="CY19" s="112" t="s">
        <v>1499</v>
      </c>
      <c r="CZ19" s="112" t="s">
        <v>1500</v>
      </c>
      <c r="DA19" s="112" t="s">
        <v>1501</v>
      </c>
      <c r="DB19" s="112" t="s">
        <v>1502</v>
      </c>
      <c r="DC19" s="112" t="s">
        <v>1503</v>
      </c>
      <c r="DD19" s="112" t="s">
        <v>1504</v>
      </c>
      <c r="DE19" s="112" t="s">
        <v>1505</v>
      </c>
      <c r="DF19" s="112"/>
      <c r="DG19" s="112"/>
      <c r="DH19" s="112"/>
      <c r="DI19" s="112" t="s">
        <v>2281</v>
      </c>
      <c r="DJ19" s="112"/>
      <c r="DK19" s="112"/>
      <c r="DL19" s="112">
        <f t="shared" si="1"/>
        <v>9</v>
      </c>
    </row>
    <row r="20" spans="1:116" s="253" customFormat="1" ht="25.5" x14ac:dyDescent="0.2">
      <c r="A20" s="254"/>
      <c r="B20" s="275" t="s">
        <v>56</v>
      </c>
      <c r="C20" s="276">
        <v>377</v>
      </c>
      <c r="D20" s="274" t="s">
        <v>3</v>
      </c>
      <c r="E20" s="260" t="s">
        <v>480</v>
      </c>
      <c r="F20" s="258" t="s">
        <v>1352</v>
      </c>
      <c r="G20" s="258" t="s">
        <v>2230</v>
      </c>
      <c r="H20" s="258" t="s">
        <v>2593</v>
      </c>
      <c r="I20" s="259" t="s">
        <v>2231</v>
      </c>
      <c r="J20" s="258" t="s">
        <v>2109</v>
      </c>
      <c r="K20" s="260" t="s">
        <v>1159</v>
      </c>
      <c r="L20" s="260" t="s">
        <v>564</v>
      </c>
      <c r="M20" s="256" t="s">
        <v>1973</v>
      </c>
      <c r="N20" s="256" t="s">
        <v>1973</v>
      </c>
      <c r="O20" s="256" t="s">
        <v>1973</v>
      </c>
      <c r="P20" s="256" t="s">
        <v>1979</v>
      </c>
      <c r="Q20" s="256" t="s">
        <v>1973</v>
      </c>
      <c r="R20" s="256" t="s">
        <v>1976</v>
      </c>
      <c r="S20" s="256" t="s">
        <v>1979</v>
      </c>
      <c r="T20" s="256" t="s">
        <v>1976</v>
      </c>
      <c r="U20" s="256" t="s">
        <v>1979</v>
      </c>
      <c r="V20" s="256" t="s">
        <v>1982</v>
      </c>
      <c r="W20" s="256"/>
      <c r="X20" s="256"/>
      <c r="Y20" s="256"/>
      <c r="Z20" s="256"/>
      <c r="AA20" s="256">
        <v>44</v>
      </c>
      <c r="AB20" s="256">
        <v>110</v>
      </c>
      <c r="AC20" s="261">
        <f t="shared" si="3"/>
        <v>132</v>
      </c>
      <c r="AD20" s="262">
        <v>2.5</v>
      </c>
      <c r="AE20" s="262" t="s">
        <v>1985</v>
      </c>
      <c r="AF20" s="262"/>
      <c r="AG20" s="262"/>
      <c r="AH20" s="263">
        <v>0.25</v>
      </c>
      <c r="AI20" s="262" t="s">
        <v>298</v>
      </c>
      <c r="AJ20" s="262" t="s">
        <v>2012</v>
      </c>
      <c r="AK20" s="263" t="s">
        <v>1778</v>
      </c>
      <c r="AL20" s="263" t="s">
        <v>1103</v>
      </c>
      <c r="AM20" s="263" t="s">
        <v>717</v>
      </c>
      <c r="AN20" s="263">
        <v>0.25</v>
      </c>
      <c r="AO20" s="263">
        <v>0.25</v>
      </c>
      <c r="AP20" s="263">
        <v>0.25</v>
      </c>
      <c r="AQ20" s="263">
        <v>0.25</v>
      </c>
      <c r="AR20" s="263">
        <v>0.25</v>
      </c>
      <c r="AS20" s="263">
        <v>0.25</v>
      </c>
      <c r="AT20" s="263" t="s">
        <v>952</v>
      </c>
      <c r="AU20" s="256" t="s">
        <v>1428</v>
      </c>
      <c r="AV20" s="262">
        <v>2.5</v>
      </c>
      <c r="AW20" s="262"/>
      <c r="AX20" s="262"/>
      <c r="AY20" s="262"/>
      <c r="AZ20" s="262"/>
      <c r="BA20" s="262"/>
      <c r="BB20" s="256" t="s">
        <v>2360</v>
      </c>
      <c r="BC20" s="264">
        <v>45737</v>
      </c>
      <c r="BD20" s="256" t="s">
        <v>2423</v>
      </c>
      <c r="BE20" s="256" t="s">
        <v>186</v>
      </c>
      <c r="BF20" s="262">
        <v>2.5</v>
      </c>
      <c r="BG20" s="262"/>
      <c r="BH20" s="262"/>
      <c r="BI20" s="262"/>
      <c r="BJ20" s="262"/>
      <c r="BK20" s="262"/>
      <c r="BL20" s="262"/>
      <c r="BM20" s="262">
        <v>2.5</v>
      </c>
      <c r="BN20" s="262">
        <v>2.5</v>
      </c>
      <c r="BO20" s="265" t="s">
        <v>616</v>
      </c>
      <c r="BP20" s="265">
        <v>2.5</v>
      </c>
      <c r="BQ20" s="262" t="s">
        <v>2439</v>
      </c>
      <c r="BR20" s="262">
        <v>2.5</v>
      </c>
      <c r="BS20" s="256" t="s">
        <v>23</v>
      </c>
      <c r="BT20" s="262" t="s">
        <v>169</v>
      </c>
      <c r="BU20" s="256" t="s">
        <v>123</v>
      </c>
      <c r="BV20" s="256" t="s">
        <v>1849</v>
      </c>
      <c r="BW20" s="256" t="s">
        <v>2509</v>
      </c>
      <c r="BX20" s="262">
        <f>AN20*10</f>
        <v>2.5</v>
      </c>
      <c r="BY20" s="256" t="s">
        <v>149</v>
      </c>
      <c r="BZ20" s="256" t="s">
        <v>1327</v>
      </c>
      <c r="CA20" s="256">
        <v>0</v>
      </c>
      <c r="CB20" s="256">
        <v>2.5</v>
      </c>
      <c r="CC20" s="256">
        <v>2.5</v>
      </c>
      <c r="CD20" s="256">
        <v>2.5</v>
      </c>
      <c r="CE20" s="266">
        <v>2.5</v>
      </c>
      <c r="CF20" s="266">
        <v>0.2</v>
      </c>
      <c r="CG20" s="265" t="s">
        <v>1021</v>
      </c>
      <c r="CH20" s="265" t="s">
        <v>2644</v>
      </c>
      <c r="CI20" s="266">
        <v>2.5</v>
      </c>
      <c r="CJ20" s="266">
        <v>2.5</v>
      </c>
      <c r="CK20" s="267">
        <v>2025.0335</v>
      </c>
      <c r="CL20" s="265" t="s">
        <v>316</v>
      </c>
      <c r="CM20" s="265">
        <v>2.5</v>
      </c>
      <c r="CN20" s="265" t="s">
        <v>289</v>
      </c>
      <c r="CO20" s="265">
        <v>2.5</v>
      </c>
      <c r="CP20" s="266" t="s">
        <v>290</v>
      </c>
      <c r="CQ20" s="255" t="s">
        <v>382</v>
      </c>
      <c r="CR20" s="255" t="s">
        <v>1544</v>
      </c>
      <c r="CS20" s="255" t="s">
        <v>1545</v>
      </c>
      <c r="CT20" s="255" t="s">
        <v>1609</v>
      </c>
      <c r="CU20" s="255" t="s">
        <v>1714</v>
      </c>
      <c r="CV20" s="255" t="s">
        <v>1702</v>
      </c>
      <c r="CW20" s="255" t="s">
        <v>383</v>
      </c>
      <c r="CX20" s="255" t="s">
        <v>384</v>
      </c>
      <c r="CY20" s="255" t="s">
        <v>385</v>
      </c>
      <c r="CZ20" s="255" t="s">
        <v>386</v>
      </c>
      <c r="DA20" s="255" t="s">
        <v>387</v>
      </c>
      <c r="DB20" s="255" t="s">
        <v>388</v>
      </c>
      <c r="DC20" s="255" t="s">
        <v>386</v>
      </c>
      <c r="DD20" s="255" t="s">
        <v>389</v>
      </c>
      <c r="DE20" s="255"/>
      <c r="DF20" s="255"/>
      <c r="DG20" s="255"/>
      <c r="DH20" s="255"/>
      <c r="DI20" s="255" t="s">
        <v>2283</v>
      </c>
      <c r="DJ20" s="255"/>
      <c r="DK20" s="255"/>
      <c r="DL20" s="255">
        <f t="shared" si="1"/>
        <v>8</v>
      </c>
    </row>
    <row r="21" spans="1:116" ht="26.25" x14ac:dyDescent="0.25">
      <c r="A21" s="111"/>
      <c r="B21" s="112" t="s">
        <v>489</v>
      </c>
      <c r="C21" s="113">
        <v>378</v>
      </c>
      <c r="D21" s="131" t="s">
        <v>151</v>
      </c>
      <c r="E21" s="124" t="s">
        <v>163</v>
      </c>
      <c r="F21" s="124" t="s">
        <v>1353</v>
      </c>
      <c r="G21" s="124" t="s">
        <v>2232</v>
      </c>
      <c r="H21" s="123" t="s">
        <v>2594</v>
      </c>
      <c r="I21" s="113" t="s">
        <v>2233</v>
      </c>
      <c r="J21" s="124" t="s">
        <v>2110</v>
      </c>
      <c r="K21" s="124" t="s">
        <v>1160</v>
      </c>
      <c r="L21" s="124" t="s">
        <v>565</v>
      </c>
      <c r="M21" s="113" t="s">
        <v>1976</v>
      </c>
      <c r="N21" s="113" t="s">
        <v>1976</v>
      </c>
      <c r="O21" s="113" t="s">
        <v>1976</v>
      </c>
      <c r="P21" s="113" t="s">
        <v>1973</v>
      </c>
      <c r="Q21" s="113" t="s">
        <v>1976</v>
      </c>
      <c r="R21" s="113" t="s">
        <v>1976</v>
      </c>
      <c r="S21" s="113" t="s">
        <v>1980</v>
      </c>
      <c r="T21" s="113"/>
      <c r="U21" s="113"/>
      <c r="V21" s="113"/>
      <c r="W21" s="113"/>
      <c r="X21" s="113"/>
      <c r="Y21" s="113"/>
      <c r="Z21" s="113"/>
      <c r="AA21" s="113">
        <v>17</v>
      </c>
      <c r="AB21" s="113">
        <v>99</v>
      </c>
      <c r="AC21" s="125">
        <f t="shared" si="3"/>
        <v>107.5</v>
      </c>
      <c r="AD21" s="116">
        <v>1.5</v>
      </c>
      <c r="AE21" s="116" t="s">
        <v>1984</v>
      </c>
      <c r="AF21" s="116"/>
      <c r="AG21" s="116"/>
      <c r="AH21" s="114">
        <v>0.2</v>
      </c>
      <c r="AI21" s="116" t="s">
        <v>298</v>
      </c>
      <c r="AJ21" s="116" t="s">
        <v>2013</v>
      </c>
      <c r="AK21" s="114" t="s">
        <v>1779</v>
      </c>
      <c r="AL21" s="114" t="s">
        <v>1077</v>
      </c>
      <c r="AM21" s="114" t="s">
        <v>716</v>
      </c>
      <c r="AN21" s="114">
        <v>0.15</v>
      </c>
      <c r="AO21" s="114">
        <v>0.15</v>
      </c>
      <c r="AP21" s="114">
        <v>0.15</v>
      </c>
      <c r="AQ21" s="114">
        <v>0.15</v>
      </c>
      <c r="AR21" s="114">
        <v>0.15</v>
      </c>
      <c r="AS21" s="114">
        <v>0.15</v>
      </c>
      <c r="AT21" s="114" t="s">
        <v>952</v>
      </c>
      <c r="AU21" s="113" t="s">
        <v>1429</v>
      </c>
      <c r="AV21" s="125">
        <v>0</v>
      </c>
      <c r="AW21" s="116">
        <v>1.5</v>
      </c>
      <c r="AX21" s="116"/>
      <c r="AY21" s="116"/>
      <c r="AZ21" s="116"/>
      <c r="BA21" s="116"/>
      <c r="BB21" s="113" t="s">
        <v>2361</v>
      </c>
      <c r="BC21" s="128">
        <v>45737</v>
      </c>
      <c r="BD21" s="113" t="s">
        <v>2423</v>
      </c>
      <c r="BE21" s="113" t="s">
        <v>186</v>
      </c>
      <c r="BF21" s="116">
        <v>1.5</v>
      </c>
      <c r="BG21" s="116"/>
      <c r="BH21" s="116"/>
      <c r="BI21" s="116"/>
      <c r="BJ21" s="116"/>
      <c r="BK21" s="116"/>
      <c r="BL21" s="116"/>
      <c r="BM21" s="116">
        <v>1.5</v>
      </c>
      <c r="BN21" s="116">
        <v>1.5</v>
      </c>
      <c r="BO21" s="117" t="s">
        <v>614</v>
      </c>
      <c r="BP21" s="117">
        <v>1.5</v>
      </c>
      <c r="BQ21" s="116" t="s">
        <v>2440</v>
      </c>
      <c r="BR21" s="116">
        <v>1.5</v>
      </c>
      <c r="BS21" s="113" t="s">
        <v>23</v>
      </c>
      <c r="BT21" s="116" t="s">
        <v>169</v>
      </c>
      <c r="BU21" s="113" t="s">
        <v>137</v>
      </c>
      <c r="BV21" s="113" t="s">
        <v>1850</v>
      </c>
      <c r="BW21" s="113" t="s">
        <v>2510</v>
      </c>
      <c r="BX21" s="116">
        <f>AN21*10</f>
        <v>1.5</v>
      </c>
      <c r="BY21" s="113" t="s">
        <v>149</v>
      </c>
      <c r="BZ21" s="113" t="s">
        <v>1328</v>
      </c>
      <c r="CA21" s="113">
        <v>1.5</v>
      </c>
      <c r="CB21" s="113">
        <v>1.5</v>
      </c>
      <c r="CC21" s="113">
        <v>1.5</v>
      </c>
      <c r="CD21" s="113">
        <v>1.5</v>
      </c>
      <c r="CE21" s="118">
        <v>1.5</v>
      </c>
      <c r="CF21" s="118">
        <v>0.1</v>
      </c>
      <c r="CG21" s="117" t="s">
        <v>1022</v>
      </c>
      <c r="CH21" s="117" t="s">
        <v>2644</v>
      </c>
      <c r="CI21" s="118">
        <v>1.5</v>
      </c>
      <c r="CJ21" s="118">
        <v>1.5</v>
      </c>
      <c r="CK21" s="119">
        <v>2025.0336</v>
      </c>
      <c r="CL21" s="117" t="s">
        <v>316</v>
      </c>
      <c r="CM21" s="117">
        <v>1.5</v>
      </c>
      <c r="CN21" s="117" t="s">
        <v>289</v>
      </c>
      <c r="CO21" s="117">
        <v>1.5</v>
      </c>
      <c r="CP21" s="118" t="s">
        <v>290</v>
      </c>
      <c r="CQ21" s="124" t="s">
        <v>97</v>
      </c>
      <c r="CR21" s="124" t="s">
        <v>1546</v>
      </c>
      <c r="CS21" s="124" t="s">
        <v>1547</v>
      </c>
      <c r="CT21" s="124" t="s">
        <v>977</v>
      </c>
      <c r="CU21" s="124" t="s">
        <v>1712</v>
      </c>
      <c r="CV21" s="124" t="s">
        <v>1702</v>
      </c>
      <c r="CW21" s="112" t="s">
        <v>390</v>
      </c>
      <c r="CX21" s="112" t="s">
        <v>391</v>
      </c>
      <c r="CY21" s="112" t="s">
        <v>392</v>
      </c>
      <c r="CZ21" s="112"/>
      <c r="DA21" s="112"/>
      <c r="DB21" s="112"/>
      <c r="DC21" s="112"/>
      <c r="DD21" s="112"/>
      <c r="DE21" s="112"/>
      <c r="DF21" s="112"/>
      <c r="DG21" s="112"/>
      <c r="DH21" s="112"/>
      <c r="DI21" s="112" t="s">
        <v>2281</v>
      </c>
      <c r="DJ21" s="112"/>
      <c r="DK21" s="112"/>
      <c r="DL21" s="112">
        <f t="shared" si="1"/>
        <v>3</v>
      </c>
    </row>
    <row r="22" spans="1:116" s="253" customFormat="1" ht="26.25" x14ac:dyDescent="0.25">
      <c r="A22" s="254"/>
      <c r="B22" s="255" t="s">
        <v>107</v>
      </c>
      <c r="C22" s="256">
        <v>379</v>
      </c>
      <c r="D22" s="274" t="s">
        <v>2090</v>
      </c>
      <c r="E22" s="260" t="s">
        <v>321</v>
      </c>
      <c r="F22" s="260" t="s">
        <v>2234</v>
      </c>
      <c r="G22" s="260" t="s">
        <v>2235</v>
      </c>
      <c r="H22" s="277" t="s">
        <v>2595</v>
      </c>
      <c r="I22" s="256" t="s">
        <v>2231</v>
      </c>
      <c r="J22" s="260" t="s">
        <v>2111</v>
      </c>
      <c r="K22" s="260" t="s">
        <v>1161</v>
      </c>
      <c r="L22" s="260" t="s">
        <v>566</v>
      </c>
      <c r="M22" s="256">
        <v>4</v>
      </c>
      <c r="N22" s="256">
        <v>6</v>
      </c>
      <c r="O22" s="256">
        <v>4</v>
      </c>
      <c r="P22" s="256">
        <v>1</v>
      </c>
      <c r="Q22" s="256">
        <v>4</v>
      </c>
      <c r="R22" s="256"/>
      <c r="S22" s="256"/>
      <c r="T22" s="256"/>
      <c r="U22" s="256"/>
      <c r="V22" s="256"/>
      <c r="W22" s="256"/>
      <c r="X22" s="256"/>
      <c r="Y22" s="256"/>
      <c r="Z22" s="256"/>
      <c r="AA22" s="256">
        <v>19</v>
      </c>
      <c r="AB22" s="256">
        <v>79</v>
      </c>
      <c r="AC22" s="261">
        <f t="shared" si="3"/>
        <v>88.5</v>
      </c>
      <c r="AD22" s="262">
        <v>1.5</v>
      </c>
      <c r="AE22" s="262" t="s">
        <v>1984</v>
      </c>
      <c r="AF22" s="262" t="s">
        <v>1984</v>
      </c>
      <c r="AG22" s="262" t="s">
        <v>1984</v>
      </c>
      <c r="AH22" s="263">
        <v>0.15</v>
      </c>
      <c r="AI22" s="262" t="s">
        <v>298</v>
      </c>
      <c r="AJ22" s="262" t="s">
        <v>2210</v>
      </c>
      <c r="AK22" s="263" t="s">
        <v>1768</v>
      </c>
      <c r="AL22" s="263" t="s">
        <v>1078</v>
      </c>
      <c r="AM22" s="263" t="s">
        <v>719</v>
      </c>
      <c r="AN22" s="263">
        <v>0.15</v>
      </c>
      <c r="AO22" s="263">
        <v>0.15</v>
      </c>
      <c r="AP22" s="263">
        <v>0.15</v>
      </c>
      <c r="AQ22" s="263">
        <v>0.15</v>
      </c>
      <c r="AR22" s="263">
        <v>0.15</v>
      </c>
      <c r="AS22" s="263">
        <v>0.15</v>
      </c>
      <c r="AT22" s="263" t="s">
        <v>952</v>
      </c>
      <c r="AU22" s="256" t="s">
        <v>1430</v>
      </c>
      <c r="AV22" s="262">
        <v>1.5</v>
      </c>
      <c r="AW22" s="262"/>
      <c r="AX22" s="262"/>
      <c r="AY22" s="262"/>
      <c r="AZ22" s="262"/>
      <c r="BA22" s="262"/>
      <c r="BB22" s="270" t="s">
        <v>2362</v>
      </c>
      <c r="BC22" s="270">
        <v>45737</v>
      </c>
      <c r="BD22" s="256" t="s">
        <v>2423</v>
      </c>
      <c r="BE22" s="256" t="s">
        <v>186</v>
      </c>
      <c r="BF22" s="262">
        <v>1.5</v>
      </c>
      <c r="BG22" s="262"/>
      <c r="BH22" s="262"/>
      <c r="BI22" s="262"/>
      <c r="BJ22" s="262"/>
      <c r="BK22" s="262"/>
      <c r="BL22" s="262"/>
      <c r="BM22" s="262">
        <v>1.5</v>
      </c>
      <c r="BN22" s="262">
        <v>1.5</v>
      </c>
      <c r="BO22" s="265" t="s">
        <v>614</v>
      </c>
      <c r="BP22" s="265">
        <v>1.5</v>
      </c>
      <c r="BQ22" s="262" t="s">
        <v>2441</v>
      </c>
      <c r="BR22" s="262">
        <v>1.5</v>
      </c>
      <c r="BS22" s="256" t="s">
        <v>23</v>
      </c>
      <c r="BT22" s="262" t="s">
        <v>169</v>
      </c>
      <c r="BU22" s="256" t="s">
        <v>328</v>
      </c>
      <c r="BV22" s="256" t="s">
        <v>1851</v>
      </c>
      <c r="BW22" s="256" t="s">
        <v>2511</v>
      </c>
      <c r="BX22" s="262">
        <f>AN22*10</f>
        <v>1.5</v>
      </c>
      <c r="BY22" s="256" t="s">
        <v>149</v>
      </c>
      <c r="BZ22" s="256" t="s">
        <v>1329</v>
      </c>
      <c r="CA22" s="256">
        <v>1.5</v>
      </c>
      <c r="CB22" s="256">
        <v>1.5</v>
      </c>
      <c r="CC22" s="256">
        <v>1.5</v>
      </c>
      <c r="CD22" s="256">
        <v>1.5</v>
      </c>
      <c r="CE22" s="266">
        <v>1.5</v>
      </c>
      <c r="CF22" s="266">
        <v>0.1</v>
      </c>
      <c r="CG22" s="265" t="s">
        <v>1014</v>
      </c>
      <c r="CH22" s="265" t="s">
        <v>2644</v>
      </c>
      <c r="CI22" s="266">
        <v>1.5</v>
      </c>
      <c r="CJ22" s="266">
        <v>1.5</v>
      </c>
      <c r="CK22" s="267">
        <v>2025.0337</v>
      </c>
      <c r="CL22" s="265" t="s">
        <v>316</v>
      </c>
      <c r="CM22" s="265">
        <v>1.5</v>
      </c>
      <c r="CN22" s="265" t="s">
        <v>289</v>
      </c>
      <c r="CO22" s="265">
        <v>1.5</v>
      </c>
      <c r="CP22" s="266" t="s">
        <v>290</v>
      </c>
      <c r="CQ22" s="278" t="s">
        <v>322</v>
      </c>
      <c r="CR22" s="278" t="s">
        <v>1548</v>
      </c>
      <c r="CS22" s="278" t="s">
        <v>1549</v>
      </c>
      <c r="CT22" s="278" t="s">
        <v>1610</v>
      </c>
      <c r="CU22" s="278" t="s">
        <v>1712</v>
      </c>
      <c r="CV22" s="278" t="s">
        <v>1702</v>
      </c>
      <c r="CW22" s="255" t="s">
        <v>393</v>
      </c>
      <c r="CX22" s="255" t="s">
        <v>394</v>
      </c>
      <c r="CY22" s="255" t="s">
        <v>900</v>
      </c>
      <c r="CZ22" s="255" t="s">
        <v>901</v>
      </c>
      <c r="DA22" s="255" t="s">
        <v>902</v>
      </c>
      <c r="DB22" s="255"/>
      <c r="DC22" s="255" t="s">
        <v>903</v>
      </c>
      <c r="DD22" s="255"/>
      <c r="DE22" s="255"/>
      <c r="DF22" s="255"/>
      <c r="DG22" s="255"/>
      <c r="DH22" s="255"/>
      <c r="DI22" s="255" t="s">
        <v>2281</v>
      </c>
      <c r="DJ22" s="255"/>
      <c r="DK22" s="255"/>
      <c r="DL22" s="255">
        <f t="shared" si="1"/>
        <v>6</v>
      </c>
    </row>
    <row r="23" spans="1:116" ht="25.5" x14ac:dyDescent="0.2">
      <c r="A23" s="111"/>
      <c r="B23" s="112" t="s">
        <v>108</v>
      </c>
      <c r="C23" s="113">
        <v>380</v>
      </c>
      <c r="D23" s="142" t="s">
        <v>104</v>
      </c>
      <c r="E23" s="115" t="s">
        <v>480</v>
      </c>
      <c r="F23" s="121" t="s">
        <v>1352</v>
      </c>
      <c r="G23" s="121" t="s">
        <v>2230</v>
      </c>
      <c r="H23" s="121" t="s">
        <v>2593</v>
      </c>
      <c r="I23" s="122" t="s">
        <v>2231</v>
      </c>
      <c r="J23" s="121" t="s">
        <v>2112</v>
      </c>
      <c r="K23" s="124" t="s">
        <v>1162</v>
      </c>
      <c r="L23" s="124" t="s">
        <v>567</v>
      </c>
      <c r="M23" s="113">
        <v>1</v>
      </c>
      <c r="N23" s="113">
        <v>7</v>
      </c>
      <c r="O23" s="113">
        <v>1</v>
      </c>
      <c r="P23" s="113">
        <v>4</v>
      </c>
      <c r="Q23" s="113">
        <v>4</v>
      </c>
      <c r="R23" s="113">
        <v>4</v>
      </c>
      <c r="S23" s="113"/>
      <c r="T23" s="113"/>
      <c r="U23" s="113"/>
      <c r="V23" s="113"/>
      <c r="W23" s="113"/>
      <c r="X23" s="113"/>
      <c r="Y23" s="113"/>
      <c r="Z23" s="113"/>
      <c r="AA23" s="113">
        <v>21</v>
      </c>
      <c r="AB23" s="113">
        <v>92</v>
      </c>
      <c r="AC23" s="125">
        <f t="shared" si="3"/>
        <v>102.5</v>
      </c>
      <c r="AD23" s="116">
        <v>1.5</v>
      </c>
      <c r="AE23" s="116"/>
      <c r="AF23" s="116"/>
      <c r="AG23" s="116"/>
      <c r="AH23" s="114">
        <v>0.15</v>
      </c>
      <c r="AI23" s="116" t="s">
        <v>298</v>
      </c>
      <c r="AJ23" s="116" t="s">
        <v>2334</v>
      </c>
      <c r="AK23" s="114" t="s">
        <v>1767</v>
      </c>
      <c r="AL23" s="114" t="s">
        <v>1079</v>
      </c>
      <c r="AM23" s="114" t="s">
        <v>753</v>
      </c>
      <c r="AN23" s="114">
        <v>0.15</v>
      </c>
      <c r="AO23" s="114">
        <v>0.15</v>
      </c>
      <c r="AP23" s="114">
        <v>0.15</v>
      </c>
      <c r="AQ23" s="114">
        <v>0.15</v>
      </c>
      <c r="AR23" s="114">
        <v>0.15</v>
      </c>
      <c r="AS23" s="114">
        <v>0.15</v>
      </c>
      <c r="AT23" s="114" t="s">
        <v>952</v>
      </c>
      <c r="AU23" s="113" t="s">
        <v>1402</v>
      </c>
      <c r="AV23" s="116">
        <v>2</v>
      </c>
      <c r="AW23" s="116"/>
      <c r="AX23" s="116"/>
      <c r="AY23" s="116"/>
      <c r="AZ23" s="116"/>
      <c r="BA23" s="116"/>
      <c r="BB23" s="113" t="s">
        <v>2363</v>
      </c>
      <c r="BC23" s="128">
        <v>45737</v>
      </c>
      <c r="BD23" s="113" t="s">
        <v>2423</v>
      </c>
      <c r="BE23" s="113" t="s">
        <v>186</v>
      </c>
      <c r="BF23" s="116">
        <v>1.5</v>
      </c>
      <c r="BG23" s="116"/>
      <c r="BH23" s="116"/>
      <c r="BI23" s="116"/>
      <c r="BJ23" s="116"/>
      <c r="BK23" s="116"/>
      <c r="BL23" s="116"/>
      <c r="BM23" s="116">
        <v>1.5</v>
      </c>
      <c r="BN23" s="116">
        <v>1.5</v>
      </c>
      <c r="BO23" s="117" t="s">
        <v>615</v>
      </c>
      <c r="BP23" s="117">
        <v>2</v>
      </c>
      <c r="BQ23" s="116" t="s">
        <v>2442</v>
      </c>
      <c r="BR23" s="116">
        <v>1.5</v>
      </c>
      <c r="BS23" s="113" t="s">
        <v>23</v>
      </c>
      <c r="BT23" s="116" t="s">
        <v>169</v>
      </c>
      <c r="BU23" s="113" t="s">
        <v>143</v>
      </c>
      <c r="BV23" s="113" t="s">
        <v>1916</v>
      </c>
      <c r="BW23" s="113" t="s">
        <v>2512</v>
      </c>
      <c r="BX23" s="116">
        <v>1.5</v>
      </c>
      <c r="BY23" s="113" t="s">
        <v>158</v>
      </c>
      <c r="BZ23" s="113" t="s">
        <v>1331</v>
      </c>
      <c r="CA23" s="113">
        <v>1.5</v>
      </c>
      <c r="CB23" s="113">
        <v>0</v>
      </c>
      <c r="CC23" s="113">
        <v>0</v>
      </c>
      <c r="CD23" s="113">
        <v>0</v>
      </c>
      <c r="CE23" s="118">
        <v>1.5</v>
      </c>
      <c r="CF23" s="118">
        <v>0.2</v>
      </c>
      <c r="CG23" s="117" t="s">
        <v>1023</v>
      </c>
      <c r="CH23" s="117" t="s">
        <v>2644</v>
      </c>
      <c r="CI23" s="118">
        <v>1.5</v>
      </c>
      <c r="CJ23" s="118">
        <v>0</v>
      </c>
      <c r="CK23" s="119">
        <v>2025.0337999999999</v>
      </c>
      <c r="CL23" s="117" t="s">
        <v>316</v>
      </c>
      <c r="CM23" s="117">
        <v>1.5</v>
      </c>
      <c r="CN23" s="117" t="s">
        <v>289</v>
      </c>
      <c r="CO23" s="117">
        <v>1.5</v>
      </c>
      <c r="CP23" s="118" t="s">
        <v>290</v>
      </c>
      <c r="CQ23" s="143" t="s">
        <v>395</v>
      </c>
      <c r="CR23" s="143" t="s">
        <v>1550</v>
      </c>
      <c r="CS23" s="143" t="s">
        <v>1551</v>
      </c>
      <c r="CT23" s="143" t="s">
        <v>978</v>
      </c>
      <c r="CU23" s="143" t="s">
        <v>1712</v>
      </c>
      <c r="CV23" s="143" t="s">
        <v>324</v>
      </c>
      <c r="CW23" s="112" t="s">
        <v>396</v>
      </c>
      <c r="CX23" s="112" t="s">
        <v>397</v>
      </c>
      <c r="CY23" s="112" t="s">
        <v>398</v>
      </c>
      <c r="CZ23" s="112" t="s">
        <v>399</v>
      </c>
      <c r="DA23" s="112" t="s">
        <v>400</v>
      </c>
      <c r="DB23" s="112"/>
      <c r="DC23" s="112"/>
      <c r="DD23" s="112"/>
      <c r="DE23" s="112"/>
      <c r="DF23" s="112"/>
      <c r="DG23" s="112"/>
      <c r="DH23" s="112"/>
      <c r="DI23" s="112" t="s">
        <v>2281</v>
      </c>
      <c r="DJ23" s="112"/>
      <c r="DK23" s="112"/>
      <c r="DL23" s="112">
        <f t="shared" si="1"/>
        <v>5</v>
      </c>
    </row>
    <row r="24" spans="1:116" s="253" customFormat="1" ht="25.5" x14ac:dyDescent="0.2">
      <c r="A24" s="254"/>
      <c r="B24" s="255" t="s">
        <v>490</v>
      </c>
      <c r="C24" s="256">
        <v>381</v>
      </c>
      <c r="D24" s="279" t="s">
        <v>105</v>
      </c>
      <c r="E24" s="280" t="s">
        <v>480</v>
      </c>
      <c r="F24" s="258" t="s">
        <v>1352</v>
      </c>
      <c r="G24" s="258" t="s">
        <v>2230</v>
      </c>
      <c r="H24" s="258" t="s">
        <v>2593</v>
      </c>
      <c r="I24" s="259" t="s">
        <v>2231</v>
      </c>
      <c r="J24" s="258" t="s">
        <v>2113</v>
      </c>
      <c r="K24" s="260" t="s">
        <v>1163</v>
      </c>
      <c r="L24" s="260" t="s">
        <v>569</v>
      </c>
      <c r="M24" s="256">
        <v>5</v>
      </c>
      <c r="N24" s="256">
        <v>4</v>
      </c>
      <c r="O24" s="256">
        <v>1</v>
      </c>
      <c r="P24" s="256">
        <v>4</v>
      </c>
      <c r="Q24" s="256">
        <v>1</v>
      </c>
      <c r="R24" s="256">
        <v>6</v>
      </c>
      <c r="S24" s="256"/>
      <c r="T24" s="256"/>
      <c r="U24" s="256"/>
      <c r="V24" s="256"/>
      <c r="W24" s="256"/>
      <c r="X24" s="256"/>
      <c r="Y24" s="256"/>
      <c r="Z24" s="256"/>
      <c r="AA24" s="256">
        <v>21</v>
      </c>
      <c r="AB24" s="256">
        <v>86</v>
      </c>
      <c r="AC24" s="261">
        <f t="shared" si="3"/>
        <v>96.5</v>
      </c>
      <c r="AD24" s="262">
        <v>1.5</v>
      </c>
      <c r="AE24" s="262" t="s">
        <v>1984</v>
      </c>
      <c r="AF24" s="262"/>
      <c r="AG24" s="262"/>
      <c r="AH24" s="263">
        <v>0.15</v>
      </c>
      <c r="AI24" s="262" t="s">
        <v>298</v>
      </c>
      <c r="AJ24" s="262" t="s">
        <v>2070</v>
      </c>
      <c r="AK24" s="263" t="s">
        <v>1766</v>
      </c>
      <c r="AL24" s="263" t="s">
        <v>1080</v>
      </c>
      <c r="AM24" s="263" t="s">
        <v>715</v>
      </c>
      <c r="AN24" s="263">
        <v>0.15</v>
      </c>
      <c r="AO24" s="263">
        <v>0.15</v>
      </c>
      <c r="AP24" s="263">
        <v>0</v>
      </c>
      <c r="AQ24" s="263">
        <v>0</v>
      </c>
      <c r="AR24" s="263">
        <v>0.15</v>
      </c>
      <c r="AS24" s="263">
        <v>0</v>
      </c>
      <c r="AT24" s="263" t="s">
        <v>952</v>
      </c>
      <c r="AU24" s="256" t="s">
        <v>1403</v>
      </c>
      <c r="AV24" s="262">
        <v>2</v>
      </c>
      <c r="AW24" s="262"/>
      <c r="AX24" s="262"/>
      <c r="AY24" s="262"/>
      <c r="AZ24" s="262"/>
      <c r="BA24" s="262"/>
      <c r="BB24" s="256" t="s">
        <v>2364</v>
      </c>
      <c r="BC24" s="264">
        <v>45737</v>
      </c>
      <c r="BD24" s="256" t="s">
        <v>2423</v>
      </c>
      <c r="BE24" s="256" t="s">
        <v>186</v>
      </c>
      <c r="BF24" s="262">
        <v>1.5</v>
      </c>
      <c r="BG24" s="262"/>
      <c r="BH24" s="262"/>
      <c r="BI24" s="262"/>
      <c r="BJ24" s="262"/>
      <c r="BK24" s="262"/>
      <c r="BL24" s="262"/>
      <c r="BM24" s="262">
        <v>1.5</v>
      </c>
      <c r="BN24" s="262">
        <v>1.5</v>
      </c>
      <c r="BO24" s="265" t="s">
        <v>614</v>
      </c>
      <c r="BP24" s="265">
        <v>1.5</v>
      </c>
      <c r="BQ24" s="262" t="s">
        <v>2443</v>
      </c>
      <c r="BR24" s="262">
        <v>1.5</v>
      </c>
      <c r="BS24" s="256" t="s">
        <v>23</v>
      </c>
      <c r="BT24" s="262" t="s">
        <v>169</v>
      </c>
      <c r="BU24" s="256" t="s">
        <v>124</v>
      </c>
      <c r="BV24" s="256" t="s">
        <v>1852</v>
      </c>
      <c r="BW24" s="256" t="s">
        <v>2513</v>
      </c>
      <c r="BX24" s="262">
        <v>1.5</v>
      </c>
      <c r="BY24" s="256" t="s">
        <v>149</v>
      </c>
      <c r="BZ24" s="256" t="s">
        <v>1330</v>
      </c>
      <c r="CA24" s="256">
        <v>1.5</v>
      </c>
      <c r="CB24" s="256">
        <v>1.5</v>
      </c>
      <c r="CC24" s="256">
        <v>1.5</v>
      </c>
      <c r="CD24" s="256">
        <v>0</v>
      </c>
      <c r="CE24" s="266">
        <v>1.5</v>
      </c>
      <c r="CF24" s="266">
        <v>0.2</v>
      </c>
      <c r="CG24" s="265" t="s">
        <v>1024</v>
      </c>
      <c r="CH24" s="265" t="s">
        <v>2644</v>
      </c>
      <c r="CI24" s="266">
        <v>1.5</v>
      </c>
      <c r="CJ24" s="266">
        <v>1.5</v>
      </c>
      <c r="CK24" s="267">
        <v>2025.0338999999999</v>
      </c>
      <c r="CL24" s="265" t="s">
        <v>317</v>
      </c>
      <c r="CM24" s="265">
        <v>1.5</v>
      </c>
      <c r="CN24" s="265" t="s">
        <v>289</v>
      </c>
      <c r="CO24" s="265">
        <v>1.5</v>
      </c>
      <c r="CP24" s="266" t="s">
        <v>290</v>
      </c>
      <c r="CQ24" s="281" t="s">
        <v>106</v>
      </c>
      <c r="CR24" s="281" t="s">
        <v>1552</v>
      </c>
      <c r="CS24" s="281" t="s">
        <v>1553</v>
      </c>
      <c r="CT24" s="281" t="s">
        <v>979</v>
      </c>
      <c r="CU24" s="281" t="s">
        <v>1714</v>
      </c>
      <c r="CV24" s="281" t="s">
        <v>1702</v>
      </c>
      <c r="CW24" s="260" t="s">
        <v>403</v>
      </c>
      <c r="CX24" s="260" t="s">
        <v>402</v>
      </c>
      <c r="CY24" s="260" t="s">
        <v>506</v>
      </c>
      <c r="CZ24" s="260" t="s">
        <v>401</v>
      </c>
      <c r="DA24" s="255"/>
      <c r="DB24" s="255"/>
      <c r="DC24" s="255"/>
      <c r="DD24" s="255"/>
      <c r="DE24" s="255"/>
      <c r="DF24" s="255"/>
      <c r="DG24" s="255"/>
      <c r="DH24" s="255"/>
      <c r="DI24" s="255" t="s">
        <v>2281</v>
      </c>
      <c r="DJ24" s="255"/>
      <c r="DK24" s="255"/>
      <c r="DL24" s="255">
        <f t="shared" si="1"/>
        <v>4</v>
      </c>
    </row>
    <row r="25" spans="1:116" ht="25.5" x14ac:dyDescent="0.2">
      <c r="A25" s="111"/>
      <c r="B25" s="112" t="s">
        <v>491</v>
      </c>
      <c r="C25" s="113">
        <v>382</v>
      </c>
      <c r="D25" s="131" t="s">
        <v>949</v>
      </c>
      <c r="E25" s="124" t="s">
        <v>480</v>
      </c>
      <c r="F25" s="124" t="s">
        <v>1352</v>
      </c>
      <c r="G25" s="124" t="s">
        <v>2230</v>
      </c>
      <c r="H25" s="124" t="s">
        <v>2593</v>
      </c>
      <c r="I25" s="113" t="s">
        <v>2231</v>
      </c>
      <c r="J25" s="124" t="s">
        <v>1807</v>
      </c>
      <c r="K25" s="124" t="s">
        <v>1798</v>
      </c>
      <c r="L25" s="124" t="s">
        <v>570</v>
      </c>
      <c r="M25" s="113"/>
      <c r="N25" s="113"/>
      <c r="O25" s="113"/>
      <c r="P25" s="113"/>
      <c r="Q25" s="113"/>
      <c r="R25" s="113"/>
      <c r="S25" s="113"/>
      <c r="T25" s="113"/>
      <c r="U25" s="113"/>
      <c r="V25" s="113"/>
      <c r="W25" s="113"/>
      <c r="X25" s="113"/>
      <c r="Y25" s="113"/>
      <c r="Z25" s="113"/>
      <c r="AA25" s="113">
        <f t="shared" ref="AA25" si="4">SUM(M25:Z25)</f>
        <v>0</v>
      </c>
      <c r="AB25" s="113"/>
      <c r="AC25" s="125">
        <f t="shared" si="3"/>
        <v>0</v>
      </c>
      <c r="AD25" s="116"/>
      <c r="AE25" s="116"/>
      <c r="AF25" s="116"/>
      <c r="AG25" s="116"/>
      <c r="AH25" s="114"/>
      <c r="AI25" s="116"/>
      <c r="AJ25" s="116"/>
      <c r="AK25" s="114"/>
      <c r="AL25" s="114" t="s">
        <v>1809</v>
      </c>
      <c r="AM25" s="114" t="s">
        <v>1808</v>
      </c>
      <c r="AN25" s="114"/>
      <c r="AO25" s="114"/>
      <c r="AP25" s="114"/>
      <c r="AQ25" s="114"/>
      <c r="AR25" s="114"/>
      <c r="AS25" s="114"/>
      <c r="AT25" s="114"/>
      <c r="AU25" s="113"/>
      <c r="AV25" s="125">
        <v>0</v>
      </c>
      <c r="AW25" s="116"/>
      <c r="AX25" s="116"/>
      <c r="AY25" s="116"/>
      <c r="AZ25" s="116"/>
      <c r="BA25" s="116"/>
      <c r="BB25" s="113"/>
      <c r="BC25" s="113"/>
      <c r="BD25" s="113"/>
      <c r="BE25" s="113"/>
      <c r="BF25" s="116"/>
      <c r="BG25" s="116"/>
      <c r="BH25" s="116"/>
      <c r="BI25" s="116"/>
      <c r="BJ25" s="116"/>
      <c r="BK25" s="116"/>
      <c r="BL25" s="116"/>
      <c r="BM25" s="116" t="s">
        <v>169</v>
      </c>
      <c r="BN25" s="116" t="s">
        <v>169</v>
      </c>
      <c r="BO25" s="117" t="s">
        <v>169</v>
      </c>
      <c r="BP25" s="117" t="s">
        <v>169</v>
      </c>
      <c r="BQ25" s="116" t="s">
        <v>178</v>
      </c>
      <c r="BR25" s="116"/>
      <c r="BS25" s="113" t="s">
        <v>178</v>
      </c>
      <c r="BT25" s="116" t="s">
        <v>169</v>
      </c>
      <c r="BU25" s="113"/>
      <c r="BV25" s="113" t="s">
        <v>1877</v>
      </c>
      <c r="BW25" s="113" t="s">
        <v>2514</v>
      </c>
      <c r="BX25" s="116"/>
      <c r="BY25" s="113" t="s">
        <v>149</v>
      </c>
      <c r="BZ25" s="113" t="s">
        <v>178</v>
      </c>
      <c r="CA25" s="113">
        <v>0</v>
      </c>
      <c r="CB25" s="113">
        <v>0</v>
      </c>
      <c r="CC25" s="113">
        <v>0</v>
      </c>
      <c r="CD25" s="113">
        <v>0</v>
      </c>
      <c r="CE25" s="307">
        <v>0</v>
      </c>
      <c r="CF25" s="118" t="s">
        <v>169</v>
      </c>
      <c r="CG25" s="117" t="s">
        <v>169</v>
      </c>
      <c r="CH25" s="117" t="s">
        <v>2644</v>
      </c>
      <c r="CI25" s="118"/>
      <c r="CJ25" s="118"/>
      <c r="CK25" s="119">
        <v>2025.0340000000001</v>
      </c>
      <c r="CL25" s="117" t="s">
        <v>316</v>
      </c>
      <c r="CM25" s="117">
        <v>1.5</v>
      </c>
      <c r="CN25" s="117" t="s">
        <v>289</v>
      </c>
      <c r="CO25" s="117">
        <v>1.5</v>
      </c>
      <c r="CP25" s="118" t="s">
        <v>290</v>
      </c>
      <c r="CQ25" s="124"/>
      <c r="CR25" s="124"/>
      <c r="CS25" s="124"/>
      <c r="CT25" s="124"/>
      <c r="CU25" s="124"/>
      <c r="CV25" s="124"/>
      <c r="CW25" s="112"/>
      <c r="CX25" s="112"/>
      <c r="CY25" s="112"/>
      <c r="CZ25" s="112"/>
      <c r="DA25" s="112"/>
      <c r="DB25" s="112"/>
      <c r="DC25" s="112"/>
      <c r="DD25" s="112"/>
      <c r="DE25" s="112"/>
      <c r="DF25" s="112"/>
      <c r="DG25" s="112"/>
      <c r="DH25" s="112"/>
      <c r="DI25" s="112"/>
      <c r="DJ25" s="112"/>
      <c r="DK25" s="112"/>
      <c r="DL25" s="112">
        <f t="shared" si="1"/>
        <v>0</v>
      </c>
    </row>
    <row r="26" spans="1:116" s="253" customFormat="1" ht="25.5" x14ac:dyDescent="0.2">
      <c r="A26" s="254"/>
      <c r="B26" s="255" t="s">
        <v>1056</v>
      </c>
      <c r="C26" s="256">
        <v>383</v>
      </c>
      <c r="D26" s="274" t="s">
        <v>1057</v>
      </c>
      <c r="E26" s="260" t="s">
        <v>480</v>
      </c>
      <c r="F26" s="258" t="s">
        <v>1352</v>
      </c>
      <c r="G26" s="258" t="s">
        <v>2230</v>
      </c>
      <c r="H26" s="258" t="s">
        <v>2593</v>
      </c>
      <c r="I26" s="259" t="s">
        <v>2231</v>
      </c>
      <c r="J26" s="258" t="s">
        <v>2114</v>
      </c>
      <c r="K26" s="260" t="s">
        <v>1164</v>
      </c>
      <c r="L26" s="260"/>
      <c r="M26" s="256">
        <v>4</v>
      </c>
      <c r="N26" s="256">
        <v>4</v>
      </c>
      <c r="O26" s="256">
        <v>4</v>
      </c>
      <c r="P26" s="256"/>
      <c r="Q26" s="256"/>
      <c r="R26" s="256"/>
      <c r="S26" s="256"/>
      <c r="T26" s="256"/>
      <c r="U26" s="256"/>
      <c r="V26" s="256"/>
      <c r="W26" s="256"/>
      <c r="X26" s="256"/>
      <c r="Y26" s="256"/>
      <c r="Z26" s="256"/>
      <c r="AA26" s="256">
        <v>12</v>
      </c>
      <c r="AB26" s="256">
        <v>32</v>
      </c>
      <c r="AC26" s="261">
        <f t="shared" si="3"/>
        <v>38</v>
      </c>
      <c r="AD26" s="262">
        <v>0.5</v>
      </c>
      <c r="AE26" s="262" t="s">
        <v>1984</v>
      </c>
      <c r="AF26" s="262"/>
      <c r="AG26" s="262"/>
      <c r="AH26" s="261">
        <v>0</v>
      </c>
      <c r="AI26" s="262" t="s">
        <v>162</v>
      </c>
      <c r="AJ26" s="262" t="s">
        <v>2016</v>
      </c>
      <c r="AK26" s="263" t="s">
        <v>1740</v>
      </c>
      <c r="AL26" s="263" t="s">
        <v>1081</v>
      </c>
      <c r="AM26" s="263" t="s">
        <v>1064</v>
      </c>
      <c r="AN26" s="263">
        <v>0.05</v>
      </c>
      <c r="AO26" s="263">
        <v>0.05</v>
      </c>
      <c r="AP26" s="263">
        <v>0.05</v>
      </c>
      <c r="AQ26" s="263">
        <v>0.05</v>
      </c>
      <c r="AR26" s="263">
        <v>0.05</v>
      </c>
      <c r="AS26" s="263">
        <v>0.05</v>
      </c>
      <c r="AT26" s="263" t="s">
        <v>952</v>
      </c>
      <c r="AU26" s="256" t="s">
        <v>1431</v>
      </c>
      <c r="AV26" s="261">
        <v>0</v>
      </c>
      <c r="AW26" s="262">
        <v>0.5</v>
      </c>
      <c r="AX26" s="262"/>
      <c r="AY26" s="262"/>
      <c r="AZ26" s="262"/>
      <c r="BA26" s="262"/>
      <c r="BB26" s="269" t="s">
        <v>2365</v>
      </c>
      <c r="BC26" s="270">
        <v>45737</v>
      </c>
      <c r="BD26" s="256" t="s">
        <v>2423</v>
      </c>
      <c r="BE26" s="256" t="s">
        <v>186</v>
      </c>
      <c r="BF26" s="262">
        <v>0.5</v>
      </c>
      <c r="BG26" s="262"/>
      <c r="BH26" s="262"/>
      <c r="BI26" s="262"/>
      <c r="BJ26" s="262"/>
      <c r="BK26" s="262"/>
      <c r="BL26" s="262"/>
      <c r="BM26" s="262">
        <v>0.5</v>
      </c>
      <c r="BN26" s="262">
        <v>0.5</v>
      </c>
      <c r="BO26" s="265" t="s">
        <v>613</v>
      </c>
      <c r="BP26" s="265">
        <v>0.5</v>
      </c>
      <c r="BQ26" s="262" t="s">
        <v>2444</v>
      </c>
      <c r="BR26" s="262">
        <v>0.5</v>
      </c>
      <c r="BS26" s="256" t="s">
        <v>23</v>
      </c>
      <c r="BT26" s="262" t="s">
        <v>169</v>
      </c>
      <c r="BU26" s="256"/>
      <c r="BV26" s="256" t="s">
        <v>1853</v>
      </c>
      <c r="BW26" s="256" t="s">
        <v>2515</v>
      </c>
      <c r="BX26" s="262">
        <v>0.5</v>
      </c>
      <c r="BY26" s="256" t="s">
        <v>149</v>
      </c>
      <c r="BZ26" s="256" t="s">
        <v>178</v>
      </c>
      <c r="CA26" s="256">
        <v>0</v>
      </c>
      <c r="CB26" s="256">
        <v>0</v>
      </c>
      <c r="CC26" s="256">
        <v>0</v>
      </c>
      <c r="CD26" s="256">
        <v>0</v>
      </c>
      <c r="CE26" s="266">
        <v>0.5</v>
      </c>
      <c r="CF26" s="266">
        <v>0</v>
      </c>
      <c r="CG26" s="265" t="s">
        <v>178</v>
      </c>
      <c r="CH26" s="265" t="s">
        <v>2644</v>
      </c>
      <c r="CI26" s="266">
        <v>0.5</v>
      </c>
      <c r="CJ26" s="266">
        <v>0.5</v>
      </c>
      <c r="CK26" s="267">
        <v>2025.0341000000001</v>
      </c>
      <c r="CL26" s="265" t="s">
        <v>316</v>
      </c>
      <c r="CM26" s="265">
        <v>0.5</v>
      </c>
      <c r="CN26" s="265" t="s">
        <v>289</v>
      </c>
      <c r="CO26" s="265">
        <v>0.5</v>
      </c>
      <c r="CP26" s="266" t="s">
        <v>315</v>
      </c>
      <c r="CQ26" s="260" t="s">
        <v>1058</v>
      </c>
      <c r="CR26" s="260" t="s">
        <v>1554</v>
      </c>
      <c r="CS26" s="260" t="s">
        <v>1555</v>
      </c>
      <c r="CT26" s="260" t="s">
        <v>1611</v>
      </c>
      <c r="CU26" s="260" t="s">
        <v>1712</v>
      </c>
      <c r="CV26" s="260" t="s">
        <v>1702</v>
      </c>
      <c r="CW26" s="255" t="s">
        <v>1060</v>
      </c>
      <c r="CX26" s="255" t="s">
        <v>1061</v>
      </c>
      <c r="CY26" s="255" t="s">
        <v>1059</v>
      </c>
      <c r="CZ26" s="255"/>
      <c r="DA26" s="255"/>
      <c r="DB26" s="255"/>
      <c r="DC26" s="255"/>
      <c r="DD26" s="255"/>
      <c r="DE26" s="255"/>
      <c r="DF26" s="255"/>
      <c r="DG26" s="255"/>
      <c r="DH26" s="255"/>
      <c r="DI26" s="255" t="s">
        <v>2281</v>
      </c>
      <c r="DJ26" s="255"/>
      <c r="DK26" s="255"/>
      <c r="DL26" s="255">
        <f t="shared" si="1"/>
        <v>3</v>
      </c>
    </row>
    <row r="27" spans="1:116" ht="26.25" x14ac:dyDescent="0.25">
      <c r="A27" s="111"/>
      <c r="B27" s="112" t="s">
        <v>62</v>
      </c>
      <c r="C27" s="113">
        <v>384</v>
      </c>
      <c r="D27" s="131" t="s">
        <v>20</v>
      </c>
      <c r="E27" s="124" t="s">
        <v>164</v>
      </c>
      <c r="F27" s="124" t="s">
        <v>2236</v>
      </c>
      <c r="G27" s="124" t="s">
        <v>2237</v>
      </c>
      <c r="H27" s="123" t="s">
        <v>2593</v>
      </c>
      <c r="I27" s="113" t="s">
        <v>2238</v>
      </c>
      <c r="J27" s="124" t="s">
        <v>2115</v>
      </c>
      <c r="K27" s="124" t="s">
        <v>1165</v>
      </c>
      <c r="L27" s="124" t="s">
        <v>550</v>
      </c>
      <c r="M27" s="113">
        <v>5</v>
      </c>
      <c r="N27" s="113">
        <v>5</v>
      </c>
      <c r="O27" s="113">
        <v>5</v>
      </c>
      <c r="P27" s="113">
        <v>2</v>
      </c>
      <c r="Q27" s="113">
        <v>4</v>
      </c>
      <c r="R27" s="113">
        <v>6</v>
      </c>
      <c r="S27" s="113">
        <v>5</v>
      </c>
      <c r="T27" s="113">
        <v>2</v>
      </c>
      <c r="U27" s="113">
        <v>14</v>
      </c>
      <c r="V27" s="113"/>
      <c r="W27" s="113"/>
      <c r="X27" s="113"/>
      <c r="Y27" s="113"/>
      <c r="Z27" s="113"/>
      <c r="AA27" s="113">
        <v>48</v>
      </c>
      <c r="AB27" s="113">
        <v>115</v>
      </c>
      <c r="AC27" s="125">
        <f t="shared" si="3"/>
        <v>139</v>
      </c>
      <c r="AD27" s="116">
        <v>2.5</v>
      </c>
      <c r="AE27" s="116"/>
      <c r="AF27" s="116"/>
      <c r="AG27" s="116"/>
      <c r="AH27" s="114">
        <v>0.25</v>
      </c>
      <c r="AI27" s="116" t="s">
        <v>298</v>
      </c>
      <c r="AJ27" s="116" t="s">
        <v>2014</v>
      </c>
      <c r="AK27" s="114" t="s">
        <v>1765</v>
      </c>
      <c r="AL27" s="114" t="s">
        <v>1082</v>
      </c>
      <c r="AM27" s="114" t="s">
        <v>711</v>
      </c>
      <c r="AN27" s="114">
        <v>0.25</v>
      </c>
      <c r="AO27" s="114">
        <v>0</v>
      </c>
      <c r="AP27" s="114">
        <v>0</v>
      </c>
      <c r="AQ27" s="114">
        <v>0</v>
      </c>
      <c r="AR27" s="114">
        <v>0.25</v>
      </c>
      <c r="AS27" s="114">
        <v>0.25</v>
      </c>
      <c r="AT27" s="114" t="s">
        <v>952</v>
      </c>
      <c r="AU27" s="113" t="s">
        <v>1406</v>
      </c>
      <c r="AV27" s="125">
        <v>0</v>
      </c>
      <c r="AW27" s="116">
        <v>2.5</v>
      </c>
      <c r="AX27" s="116"/>
      <c r="AY27" s="116"/>
      <c r="AZ27" s="116"/>
      <c r="BA27" s="116"/>
      <c r="BB27" s="113" t="s">
        <v>2366</v>
      </c>
      <c r="BC27" s="128">
        <v>45737</v>
      </c>
      <c r="BD27" s="113" t="s">
        <v>2423</v>
      </c>
      <c r="BE27" s="113" t="s">
        <v>186</v>
      </c>
      <c r="BF27" s="116">
        <v>2.5</v>
      </c>
      <c r="BG27" s="116"/>
      <c r="BH27" s="116"/>
      <c r="BI27" s="116"/>
      <c r="BJ27" s="116"/>
      <c r="BK27" s="116"/>
      <c r="BL27" s="116"/>
      <c r="BM27" s="116">
        <v>2.5</v>
      </c>
      <c r="BN27" s="116">
        <v>2.5</v>
      </c>
      <c r="BO27" s="117" t="s">
        <v>616</v>
      </c>
      <c r="BP27" s="117">
        <v>2.5</v>
      </c>
      <c r="BQ27" s="113" t="s">
        <v>2445</v>
      </c>
      <c r="BR27" s="116">
        <v>2.5</v>
      </c>
      <c r="BS27" s="113" t="s">
        <v>749</v>
      </c>
      <c r="BT27" s="116" t="s">
        <v>169</v>
      </c>
      <c r="BU27" s="113" t="s">
        <v>145</v>
      </c>
      <c r="BV27" s="113" t="s">
        <v>1854</v>
      </c>
      <c r="BW27" s="113" t="s">
        <v>2516</v>
      </c>
      <c r="BX27" s="116">
        <f>AN27*10</f>
        <v>2.5</v>
      </c>
      <c r="BY27" s="113" t="s">
        <v>149</v>
      </c>
      <c r="BZ27" s="113" t="s">
        <v>1333</v>
      </c>
      <c r="CA27" s="113">
        <v>2.5</v>
      </c>
      <c r="CB27" s="113">
        <v>2.5</v>
      </c>
      <c r="CC27" s="113">
        <v>2.5</v>
      </c>
      <c r="CD27" s="113">
        <v>2.5</v>
      </c>
      <c r="CE27" s="118">
        <v>2.5</v>
      </c>
      <c r="CF27" s="118">
        <v>0.2</v>
      </c>
      <c r="CG27" s="117" t="s">
        <v>1025</v>
      </c>
      <c r="CH27" s="117" t="s">
        <v>2644</v>
      </c>
      <c r="CI27" s="118">
        <v>2.5</v>
      </c>
      <c r="CJ27" s="118">
        <v>2.5</v>
      </c>
      <c r="CK27" s="119">
        <v>2025.0371</v>
      </c>
      <c r="CL27" s="117" t="s">
        <v>316</v>
      </c>
      <c r="CM27" s="117">
        <v>2.5</v>
      </c>
      <c r="CN27" s="117" t="s">
        <v>315</v>
      </c>
      <c r="CO27" s="117">
        <v>0</v>
      </c>
      <c r="CP27" s="118" t="s">
        <v>315</v>
      </c>
      <c r="CQ27" s="112" t="s">
        <v>1926</v>
      </c>
      <c r="CR27" s="112" t="s">
        <v>1596</v>
      </c>
      <c r="CS27" s="112" t="s">
        <v>1927</v>
      </c>
      <c r="CT27" s="112" t="s">
        <v>986</v>
      </c>
      <c r="CU27" s="112" t="s">
        <v>1712</v>
      </c>
      <c r="CV27" s="112" t="s">
        <v>1703</v>
      </c>
      <c r="CW27" s="112" t="s">
        <v>415</v>
      </c>
      <c r="CX27" s="112" t="s">
        <v>416</v>
      </c>
      <c r="CY27" s="112" t="s">
        <v>417</v>
      </c>
      <c r="CZ27" s="112" t="s">
        <v>418</v>
      </c>
      <c r="DA27" s="112" t="s">
        <v>419</v>
      </c>
      <c r="DB27" s="112" t="s">
        <v>420</v>
      </c>
      <c r="DC27" s="112" t="s">
        <v>421</v>
      </c>
      <c r="DD27" s="112"/>
      <c r="DE27" s="112"/>
      <c r="DF27" s="112"/>
      <c r="DG27" s="112"/>
      <c r="DH27" s="112"/>
      <c r="DI27" s="112" t="s">
        <v>2281</v>
      </c>
      <c r="DJ27" s="112"/>
      <c r="DK27" s="112"/>
      <c r="DL27" s="112">
        <f t="shared" si="1"/>
        <v>7</v>
      </c>
    </row>
    <row r="28" spans="1:116" s="253" customFormat="1" ht="26.25" x14ac:dyDescent="0.25">
      <c r="A28" s="254"/>
      <c r="B28" s="255" t="s">
        <v>63</v>
      </c>
      <c r="C28" s="256">
        <v>385</v>
      </c>
      <c r="D28" s="274" t="s">
        <v>18</v>
      </c>
      <c r="E28" s="260" t="s">
        <v>165</v>
      </c>
      <c r="F28" s="260" t="s">
        <v>2239</v>
      </c>
      <c r="G28" s="260" t="s">
        <v>2240</v>
      </c>
      <c r="H28" s="277" t="s">
        <v>2596</v>
      </c>
      <c r="I28" s="256" t="s">
        <v>2241</v>
      </c>
      <c r="J28" s="260" t="s">
        <v>2116</v>
      </c>
      <c r="K28" s="260" t="s">
        <v>1166</v>
      </c>
      <c r="L28" s="260" t="s">
        <v>551</v>
      </c>
      <c r="M28" s="256">
        <v>1</v>
      </c>
      <c r="N28" s="256">
        <v>6</v>
      </c>
      <c r="O28" s="256">
        <v>1</v>
      </c>
      <c r="P28" s="256">
        <v>1</v>
      </c>
      <c r="Q28" s="256">
        <v>1</v>
      </c>
      <c r="R28" s="256">
        <v>1</v>
      </c>
      <c r="S28" s="256">
        <v>1</v>
      </c>
      <c r="T28" s="256">
        <v>1</v>
      </c>
      <c r="U28" s="256">
        <v>1</v>
      </c>
      <c r="V28" s="256">
        <v>9</v>
      </c>
      <c r="W28" s="256"/>
      <c r="X28" s="256"/>
      <c r="Y28" s="256"/>
      <c r="Z28" s="256"/>
      <c r="AA28" s="256">
        <v>23</v>
      </c>
      <c r="AB28" s="256">
        <v>81</v>
      </c>
      <c r="AC28" s="261">
        <f t="shared" si="3"/>
        <v>92.5</v>
      </c>
      <c r="AD28" s="262">
        <v>1.5</v>
      </c>
      <c r="AE28" s="262"/>
      <c r="AF28" s="262"/>
      <c r="AG28" s="262"/>
      <c r="AH28" s="263">
        <v>0.15</v>
      </c>
      <c r="AI28" s="262" t="s">
        <v>298</v>
      </c>
      <c r="AJ28" s="262" t="s">
        <v>2015</v>
      </c>
      <c r="AK28" s="263" t="s">
        <v>1764</v>
      </c>
      <c r="AL28" s="263" t="s">
        <v>1083</v>
      </c>
      <c r="AM28" s="263" t="s">
        <v>713</v>
      </c>
      <c r="AN28" s="263">
        <v>0.15</v>
      </c>
      <c r="AO28" s="263">
        <v>0.15</v>
      </c>
      <c r="AP28" s="263">
        <v>0.15</v>
      </c>
      <c r="AQ28" s="263">
        <v>0.15</v>
      </c>
      <c r="AR28" s="263">
        <v>0.15</v>
      </c>
      <c r="AS28" s="263">
        <v>0.15</v>
      </c>
      <c r="AT28" s="263" t="s">
        <v>952</v>
      </c>
      <c r="AU28" s="256" t="s">
        <v>1407</v>
      </c>
      <c r="AV28" s="261">
        <v>0</v>
      </c>
      <c r="AW28" s="262">
        <v>1.5</v>
      </c>
      <c r="AX28" s="262"/>
      <c r="AY28" s="262"/>
      <c r="AZ28" s="262"/>
      <c r="BA28" s="262"/>
      <c r="BB28" s="256" t="s">
        <v>2367</v>
      </c>
      <c r="BC28" s="264">
        <v>45737</v>
      </c>
      <c r="BD28" s="256" t="s">
        <v>2423</v>
      </c>
      <c r="BE28" s="256" t="s">
        <v>186</v>
      </c>
      <c r="BF28" s="262">
        <v>1.5</v>
      </c>
      <c r="BG28" s="262"/>
      <c r="BH28" s="262"/>
      <c r="BI28" s="262"/>
      <c r="BJ28" s="262"/>
      <c r="BK28" s="262"/>
      <c r="BL28" s="262"/>
      <c r="BM28" s="262">
        <v>1.5</v>
      </c>
      <c r="BN28" s="262">
        <v>1.5</v>
      </c>
      <c r="BO28" s="265" t="s">
        <v>614</v>
      </c>
      <c r="BP28" s="265">
        <v>1.5</v>
      </c>
      <c r="BQ28" s="256" t="s">
        <v>2446</v>
      </c>
      <c r="BR28" s="262">
        <v>1.5</v>
      </c>
      <c r="BS28" s="256" t="s">
        <v>749</v>
      </c>
      <c r="BT28" s="262" t="s">
        <v>169</v>
      </c>
      <c r="BU28" s="256" t="s">
        <v>122</v>
      </c>
      <c r="BV28" s="256" t="s">
        <v>1855</v>
      </c>
      <c r="BW28" s="256" t="s">
        <v>2517</v>
      </c>
      <c r="BX28" s="262">
        <f>AN28*10</f>
        <v>1.5</v>
      </c>
      <c r="BY28" s="256" t="s">
        <v>149</v>
      </c>
      <c r="BZ28" s="256" t="s">
        <v>1332</v>
      </c>
      <c r="CA28" s="256">
        <v>1.5</v>
      </c>
      <c r="CB28" s="256">
        <v>1.5</v>
      </c>
      <c r="CC28" s="256">
        <v>1.5</v>
      </c>
      <c r="CD28" s="256">
        <v>1.5</v>
      </c>
      <c r="CE28" s="266">
        <v>1.5</v>
      </c>
      <c r="CF28" s="266">
        <v>0.1</v>
      </c>
      <c r="CG28" s="265" t="s">
        <v>1026</v>
      </c>
      <c r="CH28" s="265" t="s">
        <v>2644</v>
      </c>
      <c r="CI28" s="266">
        <v>1.5</v>
      </c>
      <c r="CJ28" s="266">
        <v>1.5</v>
      </c>
      <c r="CK28" s="267">
        <v>2025.0372</v>
      </c>
      <c r="CL28" s="265" t="s">
        <v>316</v>
      </c>
      <c r="CM28" s="265">
        <v>1.5</v>
      </c>
      <c r="CN28" s="265" t="s">
        <v>315</v>
      </c>
      <c r="CO28" s="265">
        <v>0</v>
      </c>
      <c r="CP28" s="266" t="s">
        <v>315</v>
      </c>
      <c r="CQ28" s="255" t="s">
        <v>507</v>
      </c>
      <c r="CR28" s="255" t="s">
        <v>1597</v>
      </c>
      <c r="CS28" s="255" t="s">
        <v>1598</v>
      </c>
      <c r="CT28" s="255" t="s">
        <v>987</v>
      </c>
      <c r="CU28" s="255" t="s">
        <v>1712</v>
      </c>
      <c r="CV28" s="255" t="s">
        <v>1703</v>
      </c>
      <c r="CW28" s="255" t="s">
        <v>422</v>
      </c>
      <c r="CX28" s="255" t="s">
        <v>423</v>
      </c>
      <c r="CY28" s="255" t="s">
        <v>424</v>
      </c>
      <c r="CZ28" s="255" t="s">
        <v>425</v>
      </c>
      <c r="DA28" s="255" t="s">
        <v>426</v>
      </c>
      <c r="DB28" s="255" t="s">
        <v>427</v>
      </c>
      <c r="DC28" s="255" t="s">
        <v>428</v>
      </c>
      <c r="DD28" s="255"/>
      <c r="DE28" s="255"/>
      <c r="DF28" s="255"/>
      <c r="DG28" s="255"/>
      <c r="DH28" s="255"/>
      <c r="DI28" s="255" t="s">
        <v>2281</v>
      </c>
      <c r="DJ28" s="255"/>
      <c r="DK28" s="255"/>
      <c r="DL28" s="255">
        <f t="shared" si="1"/>
        <v>7</v>
      </c>
    </row>
    <row r="29" spans="1:116" ht="26.25" x14ac:dyDescent="0.25">
      <c r="A29" s="111"/>
      <c r="B29" s="112" t="s">
        <v>1467</v>
      </c>
      <c r="C29" s="113">
        <v>386</v>
      </c>
      <c r="D29" s="131" t="s">
        <v>1468</v>
      </c>
      <c r="E29" s="124" t="s">
        <v>1473</v>
      </c>
      <c r="F29" s="124" t="s">
        <v>1474</v>
      </c>
      <c r="G29" s="124" t="s">
        <v>2242</v>
      </c>
      <c r="H29" s="123" t="s">
        <v>2597</v>
      </c>
      <c r="I29" s="113" t="s">
        <v>2243</v>
      </c>
      <c r="J29" s="124" t="s">
        <v>2117</v>
      </c>
      <c r="K29" s="124" t="s">
        <v>1469</v>
      </c>
      <c r="L29" s="124"/>
      <c r="M29" s="113">
        <v>5</v>
      </c>
      <c r="N29" s="113">
        <v>6</v>
      </c>
      <c r="O29" s="113">
        <v>4</v>
      </c>
      <c r="P29" s="113">
        <v>4</v>
      </c>
      <c r="Q29" s="113"/>
      <c r="R29" s="113"/>
      <c r="S29" s="113"/>
      <c r="T29" s="113"/>
      <c r="U29" s="113"/>
      <c r="V29" s="113"/>
      <c r="W29" s="113"/>
      <c r="X29" s="113"/>
      <c r="Y29" s="113"/>
      <c r="Z29" s="113"/>
      <c r="AA29" s="113">
        <v>19</v>
      </c>
      <c r="AB29" s="113">
        <v>52</v>
      </c>
      <c r="AC29" s="125">
        <f t="shared" si="3"/>
        <v>61.5</v>
      </c>
      <c r="AD29" s="116">
        <v>1</v>
      </c>
      <c r="AE29" s="116" t="s">
        <v>1984</v>
      </c>
      <c r="AF29" s="116"/>
      <c r="AG29" s="116"/>
      <c r="AH29" s="114">
        <v>0.1</v>
      </c>
      <c r="AI29" s="116" t="s">
        <v>298</v>
      </c>
      <c r="AJ29" s="116" t="s">
        <v>2017</v>
      </c>
      <c r="AK29" s="114" t="s">
        <v>1734</v>
      </c>
      <c r="AL29" s="114" t="s">
        <v>1470</v>
      </c>
      <c r="AM29" s="114" t="s">
        <v>1808</v>
      </c>
      <c r="AN29" s="114">
        <v>0.1</v>
      </c>
      <c r="AO29" s="114">
        <v>0</v>
      </c>
      <c r="AP29" s="114">
        <v>0</v>
      </c>
      <c r="AQ29" s="114">
        <v>0</v>
      </c>
      <c r="AR29" s="114">
        <v>0</v>
      </c>
      <c r="AS29" s="114">
        <v>0</v>
      </c>
      <c r="AT29" s="114" t="s">
        <v>952</v>
      </c>
      <c r="AU29" s="113" t="s">
        <v>1531</v>
      </c>
      <c r="AV29" s="125">
        <v>0</v>
      </c>
      <c r="AW29" s="116">
        <v>1</v>
      </c>
      <c r="AX29" s="116"/>
      <c r="AY29" s="116"/>
      <c r="AZ29" s="116"/>
      <c r="BA29" s="116"/>
      <c r="BB29" s="126" t="s">
        <v>2368</v>
      </c>
      <c r="BC29" s="127">
        <v>45737</v>
      </c>
      <c r="BD29" s="113" t="s">
        <v>2423</v>
      </c>
      <c r="BE29" s="113" t="s">
        <v>186</v>
      </c>
      <c r="BF29" s="116">
        <v>1</v>
      </c>
      <c r="BG29" s="116"/>
      <c r="BH29" s="116"/>
      <c r="BI29" s="116"/>
      <c r="BJ29" s="116"/>
      <c r="BK29" s="116"/>
      <c r="BL29" s="116"/>
      <c r="BM29" s="116">
        <v>1</v>
      </c>
      <c r="BN29" s="116">
        <v>1</v>
      </c>
      <c r="BO29" s="117" t="s">
        <v>612</v>
      </c>
      <c r="BP29" s="118">
        <v>1</v>
      </c>
      <c r="BQ29" s="113" t="s">
        <v>2447</v>
      </c>
      <c r="BR29" s="116">
        <v>1</v>
      </c>
      <c r="BS29" s="113" t="s">
        <v>749</v>
      </c>
      <c r="BT29" s="116" t="s">
        <v>169</v>
      </c>
      <c r="BU29" s="113"/>
      <c r="BV29" s="113" t="s">
        <v>1893</v>
      </c>
      <c r="BW29" s="113" t="s">
        <v>2518</v>
      </c>
      <c r="BX29" s="116">
        <v>1</v>
      </c>
      <c r="BY29" s="113" t="s">
        <v>149</v>
      </c>
      <c r="BZ29" s="113" t="s">
        <v>2626</v>
      </c>
      <c r="CA29" s="113">
        <v>1</v>
      </c>
      <c r="CB29" s="113">
        <v>1</v>
      </c>
      <c r="CC29" s="113">
        <v>1</v>
      </c>
      <c r="CD29" s="113">
        <v>1</v>
      </c>
      <c r="CE29" s="118">
        <v>1</v>
      </c>
      <c r="CF29" s="118" t="s">
        <v>169</v>
      </c>
      <c r="CG29" s="117" t="s">
        <v>169</v>
      </c>
      <c r="CH29" s="117" t="s">
        <v>2644</v>
      </c>
      <c r="CI29" s="118">
        <v>1</v>
      </c>
      <c r="CJ29" s="118">
        <v>1</v>
      </c>
      <c r="CK29" s="119">
        <v>2025.0373</v>
      </c>
      <c r="CL29" s="117" t="s">
        <v>316</v>
      </c>
      <c r="CM29" s="117">
        <v>1</v>
      </c>
      <c r="CN29" s="117" t="s">
        <v>290</v>
      </c>
      <c r="CO29" s="117">
        <v>0</v>
      </c>
      <c r="CP29" s="118" t="s">
        <v>315</v>
      </c>
      <c r="CQ29" s="112" t="s">
        <v>1481</v>
      </c>
      <c r="CR29" s="112" t="s">
        <v>1599</v>
      </c>
      <c r="CS29" s="112" t="s">
        <v>1600</v>
      </c>
      <c r="CT29" s="112" t="s">
        <v>1612</v>
      </c>
      <c r="CU29" s="112" t="s">
        <v>1712</v>
      </c>
      <c r="CV29" s="112" t="s">
        <v>1703</v>
      </c>
      <c r="CW29" s="112" t="s">
        <v>1482</v>
      </c>
      <c r="CX29" s="112" t="s">
        <v>1483</v>
      </c>
      <c r="CY29" s="112" t="s">
        <v>1484</v>
      </c>
      <c r="CZ29" s="112" t="s">
        <v>1485</v>
      </c>
      <c r="DA29" s="112" t="s">
        <v>1486</v>
      </c>
      <c r="DB29" s="112" t="s">
        <v>1487</v>
      </c>
      <c r="DC29" s="112" t="s">
        <v>1488</v>
      </c>
      <c r="DD29" s="112" t="s">
        <v>1489</v>
      </c>
      <c r="DE29" s="112" t="s">
        <v>1490</v>
      </c>
      <c r="DF29" s="112"/>
      <c r="DG29" s="112"/>
      <c r="DH29" s="112"/>
      <c r="DI29" s="112" t="s">
        <v>2281</v>
      </c>
      <c r="DJ29" s="112"/>
      <c r="DK29" s="112"/>
      <c r="DL29" s="112">
        <f t="shared" si="1"/>
        <v>9</v>
      </c>
    </row>
    <row r="30" spans="1:116" s="253" customFormat="1" ht="27" thickBot="1" x14ac:dyDescent="0.3">
      <c r="A30" s="282"/>
      <c r="B30" s="283" t="s">
        <v>1475</v>
      </c>
      <c r="C30" s="284">
        <v>387</v>
      </c>
      <c r="D30" s="285" t="s">
        <v>2091</v>
      </c>
      <c r="E30" s="286" t="s">
        <v>1473</v>
      </c>
      <c r="F30" s="286" t="s">
        <v>1474</v>
      </c>
      <c r="G30" s="286" t="s">
        <v>2242</v>
      </c>
      <c r="H30" s="287" t="s">
        <v>2597</v>
      </c>
      <c r="I30" s="284" t="s">
        <v>2243</v>
      </c>
      <c r="J30" s="286" t="s">
        <v>2118</v>
      </c>
      <c r="K30" s="286" t="s">
        <v>1476</v>
      </c>
      <c r="L30" s="286"/>
      <c r="M30" s="284">
        <v>1</v>
      </c>
      <c r="N30" s="284">
        <v>1</v>
      </c>
      <c r="O30" s="284">
        <v>1</v>
      </c>
      <c r="P30" s="284">
        <v>1</v>
      </c>
      <c r="Q30" s="284">
        <v>1</v>
      </c>
      <c r="R30" s="284"/>
      <c r="S30" s="284"/>
      <c r="T30" s="284"/>
      <c r="U30" s="284"/>
      <c r="V30" s="284"/>
      <c r="W30" s="284"/>
      <c r="X30" s="284"/>
      <c r="Y30" s="284"/>
      <c r="Z30" s="284"/>
      <c r="AA30" s="284">
        <v>5</v>
      </c>
      <c r="AB30" s="284">
        <v>31</v>
      </c>
      <c r="AC30" s="288">
        <f t="shared" si="3"/>
        <v>33.5</v>
      </c>
      <c r="AD30" s="289">
        <v>0.5</v>
      </c>
      <c r="AE30" s="289" t="s">
        <v>1984</v>
      </c>
      <c r="AF30" s="289"/>
      <c r="AG30" s="289"/>
      <c r="AH30" s="288">
        <v>0</v>
      </c>
      <c r="AI30" s="289" t="s">
        <v>162</v>
      </c>
      <c r="AJ30" s="289" t="s">
        <v>2078</v>
      </c>
      <c r="AK30" s="290" t="s">
        <v>1732</v>
      </c>
      <c r="AL30" s="290" t="s">
        <v>1492</v>
      </c>
      <c r="AM30" s="290" t="s">
        <v>1808</v>
      </c>
      <c r="AN30" s="290">
        <v>0.05</v>
      </c>
      <c r="AO30" s="290">
        <v>0.05</v>
      </c>
      <c r="AP30" s="290">
        <v>0.05</v>
      </c>
      <c r="AQ30" s="290">
        <v>0.05</v>
      </c>
      <c r="AR30" s="290">
        <v>0.05</v>
      </c>
      <c r="AS30" s="290">
        <v>0.05</v>
      </c>
      <c r="AT30" s="290" t="s">
        <v>952</v>
      </c>
      <c r="AU30" s="284" t="s">
        <v>2221</v>
      </c>
      <c r="AV30" s="288">
        <v>0</v>
      </c>
      <c r="AW30" s="289">
        <v>0</v>
      </c>
      <c r="AX30" s="289"/>
      <c r="AY30" s="289"/>
      <c r="AZ30" s="289"/>
      <c r="BA30" s="289"/>
      <c r="BB30" s="291" t="s">
        <v>1780</v>
      </c>
      <c r="BC30" s="292">
        <v>45175</v>
      </c>
      <c r="BD30" s="284" t="s">
        <v>182</v>
      </c>
      <c r="BE30" s="284" t="s">
        <v>186</v>
      </c>
      <c r="BF30" s="289">
        <v>0.5</v>
      </c>
      <c r="BG30" s="289"/>
      <c r="BH30" s="289"/>
      <c r="BI30" s="289"/>
      <c r="BJ30" s="289"/>
      <c r="BK30" s="289"/>
      <c r="BL30" s="289"/>
      <c r="BM30" s="289">
        <v>0.5</v>
      </c>
      <c r="BN30" s="289">
        <v>0.5</v>
      </c>
      <c r="BO30" s="293" t="s">
        <v>613</v>
      </c>
      <c r="BP30" s="293">
        <v>0.5</v>
      </c>
      <c r="BQ30" s="284" t="s">
        <v>2448</v>
      </c>
      <c r="BR30" s="289">
        <v>0</v>
      </c>
      <c r="BS30" s="284" t="s">
        <v>178</v>
      </c>
      <c r="BT30" s="289" t="s">
        <v>169</v>
      </c>
      <c r="BU30" s="284"/>
      <c r="BV30" s="284" t="s">
        <v>1856</v>
      </c>
      <c r="BW30" s="284" t="s">
        <v>2519</v>
      </c>
      <c r="BX30" s="289">
        <v>0.5</v>
      </c>
      <c r="BY30" s="284" t="s">
        <v>149</v>
      </c>
      <c r="BZ30" s="284" t="s">
        <v>2627</v>
      </c>
      <c r="CA30" s="284">
        <v>0</v>
      </c>
      <c r="CB30" s="284">
        <v>0</v>
      </c>
      <c r="CC30" s="284">
        <v>0.5</v>
      </c>
      <c r="CD30" s="284">
        <v>0.5</v>
      </c>
      <c r="CE30" s="294">
        <v>0.5</v>
      </c>
      <c r="CF30" s="294" t="s">
        <v>169</v>
      </c>
      <c r="CG30" s="293" t="s">
        <v>169</v>
      </c>
      <c r="CH30" s="293" t="s">
        <v>2644</v>
      </c>
      <c r="CI30" s="294">
        <v>0.2</v>
      </c>
      <c r="CJ30" s="294">
        <v>0.2</v>
      </c>
      <c r="CK30" s="295">
        <v>2025.0373999999999</v>
      </c>
      <c r="CL30" s="293" t="s">
        <v>316</v>
      </c>
      <c r="CM30" s="293">
        <v>0.5</v>
      </c>
      <c r="CN30" s="293" t="s">
        <v>290</v>
      </c>
      <c r="CO30" s="293">
        <v>0</v>
      </c>
      <c r="CP30" s="294" t="s">
        <v>315</v>
      </c>
      <c r="CQ30" s="283" t="s">
        <v>1506</v>
      </c>
      <c r="CR30" s="283" t="s">
        <v>1601</v>
      </c>
      <c r="CS30" s="283" t="s">
        <v>1602</v>
      </c>
      <c r="CT30" s="283" t="s">
        <v>2608</v>
      </c>
      <c r="CU30" s="283" t="s">
        <v>1712</v>
      </c>
      <c r="CV30" s="283" t="s">
        <v>1703</v>
      </c>
      <c r="CW30" s="283" t="s">
        <v>1477</v>
      </c>
      <c r="CX30" s="283" t="s">
        <v>1478</v>
      </c>
      <c r="CY30" s="283" t="s">
        <v>1479</v>
      </c>
      <c r="CZ30" s="283" t="s">
        <v>1480</v>
      </c>
      <c r="DA30" s="283"/>
      <c r="DB30" s="283"/>
      <c r="DC30" s="283"/>
      <c r="DD30" s="283"/>
      <c r="DE30" s="283"/>
      <c r="DF30" s="283"/>
      <c r="DG30" s="283"/>
      <c r="DH30" s="283"/>
      <c r="DI30" s="283" t="s">
        <v>2281</v>
      </c>
      <c r="DJ30" s="283"/>
      <c r="DK30" s="283"/>
      <c r="DL30" s="283">
        <f t="shared" si="1"/>
        <v>4</v>
      </c>
    </row>
    <row r="31" spans="1:116" s="195" customFormat="1" ht="14.25" thickTop="1" thickBot="1" x14ac:dyDescent="0.25">
      <c r="A31" s="311"/>
      <c r="B31" s="178"/>
      <c r="C31" s="179"/>
      <c r="D31" s="180" t="s">
        <v>38</v>
      </c>
      <c r="E31" s="181"/>
      <c r="F31" s="181"/>
      <c r="G31" s="181"/>
      <c r="H31" s="181"/>
      <c r="I31" s="182"/>
      <c r="J31" s="181"/>
      <c r="K31" s="213"/>
      <c r="L31" s="213"/>
      <c r="M31" s="213"/>
      <c r="N31" s="213"/>
      <c r="O31" s="213"/>
      <c r="P31" s="213"/>
      <c r="Q31" s="213"/>
      <c r="R31" s="213"/>
      <c r="S31" s="213"/>
      <c r="T31" s="213"/>
      <c r="U31" s="213"/>
      <c r="V31" s="213"/>
      <c r="W31" s="213"/>
      <c r="X31" s="213"/>
      <c r="Y31" s="213"/>
      <c r="Z31" s="213"/>
      <c r="AA31" s="213"/>
      <c r="AB31" s="213"/>
      <c r="AC31" s="214"/>
      <c r="AD31" s="189"/>
      <c r="AE31" s="189"/>
      <c r="AF31" s="189"/>
      <c r="AG31" s="189"/>
      <c r="AH31" s="187"/>
      <c r="AI31" s="189"/>
      <c r="AJ31" s="189"/>
      <c r="AK31" s="187"/>
      <c r="AL31" s="187"/>
      <c r="AM31" s="187"/>
      <c r="AN31" s="187"/>
      <c r="AO31" s="187"/>
      <c r="AP31" s="187"/>
      <c r="AQ31" s="187"/>
      <c r="AR31" s="187"/>
      <c r="AS31" s="187"/>
      <c r="AT31" s="187"/>
      <c r="AU31" s="179"/>
      <c r="AV31" s="189"/>
      <c r="AW31" s="189"/>
      <c r="AX31" s="189"/>
      <c r="AY31" s="189"/>
      <c r="AZ31" s="189"/>
      <c r="BA31" s="189"/>
      <c r="BB31" s="179"/>
      <c r="BC31" s="179"/>
      <c r="BD31" s="179"/>
      <c r="BE31" s="179"/>
      <c r="BF31" s="189"/>
      <c r="BG31" s="189"/>
      <c r="BH31" s="189"/>
      <c r="BI31" s="189"/>
      <c r="BJ31" s="189"/>
      <c r="BK31" s="189"/>
      <c r="BL31" s="189"/>
      <c r="BM31" s="189"/>
      <c r="BN31" s="189"/>
      <c r="BO31" s="190"/>
      <c r="BP31" s="190"/>
      <c r="BQ31" s="216"/>
      <c r="BR31" s="189"/>
      <c r="BS31" s="179"/>
      <c r="BT31" s="189"/>
      <c r="BU31" s="179"/>
      <c r="BV31" s="179"/>
      <c r="BW31" s="179"/>
      <c r="BX31" s="189"/>
      <c r="BY31" s="179"/>
      <c r="BZ31" s="179"/>
      <c r="CA31" s="179"/>
      <c r="CB31" s="179"/>
      <c r="CC31" s="179"/>
      <c r="CD31" s="179"/>
      <c r="CE31" s="193"/>
      <c r="CF31" s="193"/>
      <c r="CG31" s="190"/>
      <c r="CH31" s="190"/>
      <c r="CI31" s="193"/>
      <c r="CJ31" s="193"/>
      <c r="CK31" s="194"/>
      <c r="CL31" s="190"/>
      <c r="CM31" s="190"/>
      <c r="CN31" s="190"/>
      <c r="CO31" s="190"/>
      <c r="CP31" s="193"/>
      <c r="CQ31" s="181"/>
      <c r="CR31" s="181"/>
      <c r="CS31" s="181"/>
      <c r="CT31" s="181"/>
      <c r="CU31" s="181"/>
      <c r="CV31" s="181"/>
      <c r="CW31" s="178"/>
      <c r="CX31" s="178"/>
      <c r="CY31" s="178"/>
      <c r="CZ31" s="178"/>
      <c r="DA31" s="178"/>
      <c r="DB31" s="178"/>
      <c r="DC31" s="178"/>
      <c r="DD31" s="178"/>
      <c r="DE31" s="178"/>
      <c r="DF31" s="178"/>
      <c r="DG31" s="178"/>
      <c r="DH31" s="178"/>
      <c r="DI31" s="178"/>
      <c r="DJ31" s="178"/>
      <c r="DK31" s="178"/>
      <c r="DL31" s="178"/>
    </row>
    <row r="32" spans="1:116" s="253" customFormat="1" ht="26.25" thickTop="1" x14ac:dyDescent="0.2">
      <c r="A32" s="237"/>
      <c r="B32" s="238" t="s">
        <v>57</v>
      </c>
      <c r="C32" s="239">
        <v>388</v>
      </c>
      <c r="D32" s="272" t="s">
        <v>14</v>
      </c>
      <c r="E32" s="244" t="s">
        <v>480</v>
      </c>
      <c r="F32" s="241" t="s">
        <v>1352</v>
      </c>
      <c r="G32" s="241" t="s">
        <v>2230</v>
      </c>
      <c r="H32" s="241" t="s">
        <v>2593</v>
      </c>
      <c r="I32" s="242" t="s">
        <v>2231</v>
      </c>
      <c r="J32" s="241" t="s">
        <v>2119</v>
      </c>
      <c r="K32" s="244" t="s">
        <v>1174</v>
      </c>
      <c r="L32" s="244" t="s">
        <v>552</v>
      </c>
      <c r="M32" s="239">
        <v>1</v>
      </c>
      <c r="N32" s="239">
        <v>1</v>
      </c>
      <c r="O32" s="239">
        <v>5</v>
      </c>
      <c r="P32" s="239">
        <v>1</v>
      </c>
      <c r="Q32" s="239">
        <v>1</v>
      </c>
      <c r="R32" s="239">
        <v>1</v>
      </c>
      <c r="S32" s="239">
        <v>1</v>
      </c>
      <c r="T32" s="239">
        <v>10</v>
      </c>
      <c r="U32" s="239"/>
      <c r="V32" s="239"/>
      <c r="W32" s="239"/>
      <c r="X32" s="239"/>
      <c r="Y32" s="239"/>
      <c r="Z32" s="239"/>
      <c r="AA32" s="239">
        <v>21</v>
      </c>
      <c r="AB32" s="239">
        <v>80</v>
      </c>
      <c r="AC32" s="245">
        <f t="shared" ref="AC32:AC86" si="5">AB32+(AA32*(30/60))</f>
        <v>90.5</v>
      </c>
      <c r="AD32" s="246">
        <v>1.5</v>
      </c>
      <c r="AE32" s="246" t="s">
        <v>1984</v>
      </c>
      <c r="AF32" s="246"/>
      <c r="AG32" s="246"/>
      <c r="AH32" s="247">
        <v>0.15</v>
      </c>
      <c r="AI32" s="246" t="s">
        <v>298</v>
      </c>
      <c r="AJ32" s="246" t="s">
        <v>2019</v>
      </c>
      <c r="AK32" s="247" t="s">
        <v>1763</v>
      </c>
      <c r="AL32" s="247" t="s">
        <v>1084</v>
      </c>
      <c r="AM32" s="247" t="s">
        <v>712</v>
      </c>
      <c r="AN32" s="247">
        <v>0.15</v>
      </c>
      <c r="AO32" s="247">
        <v>0</v>
      </c>
      <c r="AP32" s="247">
        <v>0</v>
      </c>
      <c r="AQ32" s="247">
        <v>0</v>
      </c>
      <c r="AR32" s="247">
        <v>0</v>
      </c>
      <c r="AS32" s="247">
        <v>0.15</v>
      </c>
      <c r="AT32" s="247" t="s">
        <v>952</v>
      </c>
      <c r="AU32" s="239" t="s">
        <v>1432</v>
      </c>
      <c r="AV32" s="246">
        <v>1.5</v>
      </c>
      <c r="AW32" s="246"/>
      <c r="AX32" s="246"/>
      <c r="AY32" s="246"/>
      <c r="AZ32" s="246"/>
      <c r="BA32" s="246"/>
      <c r="BB32" s="239" t="s">
        <v>2369</v>
      </c>
      <c r="BC32" s="273">
        <v>45737</v>
      </c>
      <c r="BD32" s="239" t="s">
        <v>188</v>
      </c>
      <c r="BE32" s="239" t="s">
        <v>186</v>
      </c>
      <c r="BF32" s="246">
        <v>1.5</v>
      </c>
      <c r="BG32" s="246"/>
      <c r="BH32" s="246"/>
      <c r="BI32" s="246"/>
      <c r="BJ32" s="246"/>
      <c r="BK32" s="246"/>
      <c r="BL32" s="246"/>
      <c r="BM32" s="246">
        <v>1.5</v>
      </c>
      <c r="BN32" s="246">
        <v>1.5</v>
      </c>
      <c r="BO32" s="250" t="s">
        <v>614</v>
      </c>
      <c r="BP32" s="250">
        <v>1.5</v>
      </c>
      <c r="BQ32" s="239" t="s">
        <v>2449</v>
      </c>
      <c r="BR32" s="246">
        <v>1.5</v>
      </c>
      <c r="BS32" s="239" t="s">
        <v>23</v>
      </c>
      <c r="BT32" s="246" t="s">
        <v>169</v>
      </c>
      <c r="BU32" s="239" t="s">
        <v>129</v>
      </c>
      <c r="BV32" s="239" t="s">
        <v>1857</v>
      </c>
      <c r="BW32" s="239" t="s">
        <v>2520</v>
      </c>
      <c r="BX32" s="246">
        <f t="shared" ref="BX32:BX37" si="6">AN32*10</f>
        <v>1.5</v>
      </c>
      <c r="BY32" s="239" t="s">
        <v>158</v>
      </c>
      <c r="BZ32" s="239" t="s">
        <v>1334</v>
      </c>
      <c r="CA32" s="239">
        <v>0</v>
      </c>
      <c r="CB32" s="239">
        <v>0</v>
      </c>
      <c r="CC32" s="239">
        <v>0</v>
      </c>
      <c r="CD32" s="239">
        <v>1.5</v>
      </c>
      <c r="CE32" s="251">
        <v>1.5</v>
      </c>
      <c r="CF32" s="251">
        <v>0.1</v>
      </c>
      <c r="CG32" s="250" t="s">
        <v>1027</v>
      </c>
      <c r="CH32" s="250" t="s">
        <v>2644</v>
      </c>
      <c r="CI32" s="251">
        <v>1</v>
      </c>
      <c r="CJ32" s="251">
        <v>0</v>
      </c>
      <c r="CK32" s="252">
        <v>2025.0342000000001</v>
      </c>
      <c r="CL32" s="250" t="s">
        <v>318</v>
      </c>
      <c r="CM32" s="250">
        <v>1.5</v>
      </c>
      <c r="CN32" s="250" t="s">
        <v>289</v>
      </c>
      <c r="CO32" s="250">
        <v>1.5</v>
      </c>
      <c r="CP32" s="251" t="s">
        <v>315</v>
      </c>
      <c r="CQ32" s="238" t="s">
        <v>29</v>
      </c>
      <c r="CR32" s="238" t="s">
        <v>1556</v>
      </c>
      <c r="CS32" s="238" t="s">
        <v>1557</v>
      </c>
      <c r="CT32" s="296" t="s">
        <v>980</v>
      </c>
      <c r="CU32" s="296" t="s">
        <v>1712</v>
      </c>
      <c r="CV32" s="296" t="s">
        <v>1704</v>
      </c>
      <c r="CW32" s="238" t="s">
        <v>429</v>
      </c>
      <c r="CX32" s="238" t="s">
        <v>430</v>
      </c>
      <c r="CY32" s="238" t="s">
        <v>431</v>
      </c>
      <c r="CZ32" s="238" t="s">
        <v>432</v>
      </c>
      <c r="DA32" s="238" t="s">
        <v>433</v>
      </c>
      <c r="DB32" s="238" t="s">
        <v>434</v>
      </c>
      <c r="DC32" s="238" t="s">
        <v>435</v>
      </c>
      <c r="DD32" s="238"/>
      <c r="DE32" s="238"/>
      <c r="DF32" s="238"/>
      <c r="DG32" s="238"/>
      <c r="DH32" s="238"/>
      <c r="DI32" s="238" t="s">
        <v>2281</v>
      </c>
      <c r="DJ32" s="238"/>
      <c r="DK32" s="238"/>
      <c r="DL32" s="238">
        <f t="shared" si="1"/>
        <v>7</v>
      </c>
    </row>
    <row r="33" spans="1:116" ht="25.5" x14ac:dyDescent="0.2">
      <c r="A33" s="111"/>
      <c r="B33" s="112" t="s">
        <v>58</v>
      </c>
      <c r="C33" s="113">
        <v>389</v>
      </c>
      <c r="D33" s="131" t="s">
        <v>16</v>
      </c>
      <c r="E33" s="124" t="s">
        <v>480</v>
      </c>
      <c r="F33" s="121" t="s">
        <v>1352</v>
      </c>
      <c r="G33" s="121" t="s">
        <v>2230</v>
      </c>
      <c r="H33" s="121" t="s">
        <v>2593</v>
      </c>
      <c r="I33" s="122" t="s">
        <v>2231</v>
      </c>
      <c r="J33" s="121" t="s">
        <v>2120</v>
      </c>
      <c r="K33" s="124" t="s">
        <v>1175</v>
      </c>
      <c r="L33" s="124" t="s">
        <v>553</v>
      </c>
      <c r="M33" s="113">
        <v>1</v>
      </c>
      <c r="N33" s="113">
        <v>1</v>
      </c>
      <c r="O33" s="113">
        <v>1</v>
      </c>
      <c r="P33" s="113">
        <v>1</v>
      </c>
      <c r="Q33" s="113">
        <v>1</v>
      </c>
      <c r="R33" s="113">
        <v>4</v>
      </c>
      <c r="S33" s="113">
        <v>1</v>
      </c>
      <c r="T33" s="113">
        <v>1</v>
      </c>
      <c r="U33" s="113">
        <v>1</v>
      </c>
      <c r="V33" s="113">
        <v>1</v>
      </c>
      <c r="W33" s="113">
        <v>1</v>
      </c>
      <c r="X33" s="113">
        <v>1</v>
      </c>
      <c r="Y33" s="113">
        <v>11</v>
      </c>
      <c r="Z33" s="113"/>
      <c r="AA33" s="113">
        <v>26</v>
      </c>
      <c r="AB33" s="113">
        <v>114</v>
      </c>
      <c r="AC33" s="125">
        <f t="shared" si="5"/>
        <v>127</v>
      </c>
      <c r="AD33" s="116">
        <v>2.5</v>
      </c>
      <c r="AE33" s="116" t="s">
        <v>1985</v>
      </c>
      <c r="AF33" s="116"/>
      <c r="AG33" s="116"/>
      <c r="AH33" s="114">
        <v>0.2</v>
      </c>
      <c r="AI33" s="116" t="s">
        <v>298</v>
      </c>
      <c r="AJ33" s="116" t="s">
        <v>2020</v>
      </c>
      <c r="AK33" s="114" t="s">
        <v>1762</v>
      </c>
      <c r="AL33" s="114" t="s">
        <v>1085</v>
      </c>
      <c r="AM33" s="114" t="s">
        <v>710</v>
      </c>
      <c r="AN33" s="114">
        <v>0.25</v>
      </c>
      <c r="AO33" s="114">
        <v>0</v>
      </c>
      <c r="AP33" s="114">
        <v>0</v>
      </c>
      <c r="AQ33" s="114">
        <v>0</v>
      </c>
      <c r="AR33" s="114">
        <v>0</v>
      </c>
      <c r="AS33" s="114">
        <v>0.25</v>
      </c>
      <c r="AT33" s="114" t="s">
        <v>952</v>
      </c>
      <c r="AU33" s="113" t="s">
        <v>1433</v>
      </c>
      <c r="AV33" s="116">
        <v>2.5</v>
      </c>
      <c r="AW33" s="116"/>
      <c r="AX33" s="116"/>
      <c r="AY33" s="116"/>
      <c r="AZ33" s="116"/>
      <c r="BA33" s="116"/>
      <c r="BB33" s="113" t="s">
        <v>2370</v>
      </c>
      <c r="BC33" s="128">
        <v>45737</v>
      </c>
      <c r="BD33" s="113" t="s">
        <v>188</v>
      </c>
      <c r="BE33" s="113" t="s">
        <v>186</v>
      </c>
      <c r="BF33" s="116">
        <v>2.5</v>
      </c>
      <c r="BG33" s="116"/>
      <c r="BH33" s="116"/>
      <c r="BI33" s="116"/>
      <c r="BJ33" s="116"/>
      <c r="BK33" s="116"/>
      <c r="BL33" s="116"/>
      <c r="BM33" s="116">
        <v>2.5</v>
      </c>
      <c r="BN33" s="116">
        <v>2.5</v>
      </c>
      <c r="BO33" s="117" t="s">
        <v>616</v>
      </c>
      <c r="BP33" s="117">
        <v>2.5</v>
      </c>
      <c r="BQ33" s="113" t="s">
        <v>2450</v>
      </c>
      <c r="BR33" s="116">
        <v>2.5</v>
      </c>
      <c r="BS33" s="113" t="s">
        <v>23</v>
      </c>
      <c r="BT33" s="116" t="s">
        <v>169</v>
      </c>
      <c r="BU33" s="113" t="s">
        <v>120</v>
      </c>
      <c r="BV33" s="113" t="s">
        <v>1858</v>
      </c>
      <c r="BW33" s="113" t="s">
        <v>2521</v>
      </c>
      <c r="BX33" s="116">
        <f t="shared" si="6"/>
        <v>2.5</v>
      </c>
      <c r="BY33" s="113" t="s">
        <v>158</v>
      </c>
      <c r="BZ33" s="113" t="s">
        <v>1336</v>
      </c>
      <c r="CA33" s="113">
        <v>0</v>
      </c>
      <c r="CB33" s="113">
        <v>0</v>
      </c>
      <c r="CC33" s="113">
        <v>0</v>
      </c>
      <c r="CD33" s="113">
        <v>2.5</v>
      </c>
      <c r="CE33" s="118">
        <v>2.5</v>
      </c>
      <c r="CF33" s="118">
        <v>0.2</v>
      </c>
      <c r="CG33" s="117" t="s">
        <v>1028</v>
      </c>
      <c r="CH33" s="117" t="s">
        <v>2644</v>
      </c>
      <c r="CI33" s="118">
        <v>2.5</v>
      </c>
      <c r="CJ33" s="118">
        <v>0</v>
      </c>
      <c r="CK33" s="119">
        <v>2025.0343</v>
      </c>
      <c r="CL33" s="117" t="s">
        <v>24</v>
      </c>
      <c r="CM33" s="117">
        <v>2.5</v>
      </c>
      <c r="CN33" s="117" t="s">
        <v>289</v>
      </c>
      <c r="CO33" s="117">
        <v>2.5</v>
      </c>
      <c r="CP33" s="118" t="s">
        <v>315</v>
      </c>
      <c r="CQ33" s="112" t="s">
        <v>98</v>
      </c>
      <c r="CR33" s="112" t="s">
        <v>1558</v>
      </c>
      <c r="CS33" s="112" t="s">
        <v>1559</v>
      </c>
      <c r="CT33" s="129" t="s">
        <v>981</v>
      </c>
      <c r="CU33" s="129" t="s">
        <v>1712</v>
      </c>
      <c r="CV33" s="129" t="s">
        <v>1704</v>
      </c>
      <c r="CW33" s="112" t="s">
        <v>436</v>
      </c>
      <c r="CX33" s="112" t="s">
        <v>437</v>
      </c>
      <c r="CY33" s="112" t="s">
        <v>438</v>
      </c>
      <c r="CZ33" s="112" t="s">
        <v>439</v>
      </c>
      <c r="DA33" s="112" t="s">
        <v>440</v>
      </c>
      <c r="DB33" s="112" t="s">
        <v>441</v>
      </c>
      <c r="DC33" s="112" t="s">
        <v>442</v>
      </c>
      <c r="DD33" s="112" t="s">
        <v>443</v>
      </c>
      <c r="DE33" s="112" t="s">
        <v>444</v>
      </c>
      <c r="DF33" s="112" t="s">
        <v>445</v>
      </c>
      <c r="DG33" s="112"/>
      <c r="DH33" s="112"/>
      <c r="DI33" s="112" t="s">
        <v>2281</v>
      </c>
      <c r="DJ33" s="112"/>
      <c r="DK33" s="112"/>
      <c r="DL33" s="112">
        <f t="shared" si="1"/>
        <v>10</v>
      </c>
    </row>
    <row r="34" spans="1:116" s="253" customFormat="1" ht="25.5" x14ac:dyDescent="0.2">
      <c r="A34" s="254"/>
      <c r="B34" s="255" t="s">
        <v>59</v>
      </c>
      <c r="C34" s="256">
        <v>390</v>
      </c>
      <c r="D34" s="274" t="s">
        <v>17</v>
      </c>
      <c r="E34" s="260" t="s">
        <v>480</v>
      </c>
      <c r="F34" s="258" t="s">
        <v>1352</v>
      </c>
      <c r="G34" s="258" t="s">
        <v>2230</v>
      </c>
      <c r="H34" s="258" t="s">
        <v>2593</v>
      </c>
      <c r="I34" s="259" t="s">
        <v>2231</v>
      </c>
      <c r="J34" s="258" t="s">
        <v>2121</v>
      </c>
      <c r="K34" s="260" t="s">
        <v>1176</v>
      </c>
      <c r="L34" s="260" t="s">
        <v>554</v>
      </c>
      <c r="M34" s="256">
        <v>1</v>
      </c>
      <c r="N34" s="256">
        <v>1</v>
      </c>
      <c r="O34" s="256">
        <v>1</v>
      </c>
      <c r="P34" s="256">
        <v>1</v>
      </c>
      <c r="Q34" s="256">
        <v>6</v>
      </c>
      <c r="R34" s="256">
        <v>1</v>
      </c>
      <c r="S34" s="256">
        <v>1</v>
      </c>
      <c r="T34" s="256">
        <v>1</v>
      </c>
      <c r="U34" s="256">
        <v>1</v>
      </c>
      <c r="V34" s="256">
        <v>1</v>
      </c>
      <c r="W34" s="256">
        <v>1</v>
      </c>
      <c r="X34" s="256">
        <v>9</v>
      </c>
      <c r="Y34" s="256"/>
      <c r="Z34" s="256"/>
      <c r="AA34" s="256">
        <v>25</v>
      </c>
      <c r="AB34" s="256">
        <v>112</v>
      </c>
      <c r="AC34" s="261">
        <f t="shared" si="5"/>
        <v>124.5</v>
      </c>
      <c r="AD34" s="262">
        <v>2.5</v>
      </c>
      <c r="AE34" s="262" t="s">
        <v>1985</v>
      </c>
      <c r="AF34" s="262"/>
      <c r="AG34" s="262"/>
      <c r="AH34" s="263">
        <v>0.25</v>
      </c>
      <c r="AI34" s="262" t="s">
        <v>298</v>
      </c>
      <c r="AJ34" s="262" t="s">
        <v>2021</v>
      </c>
      <c r="AK34" s="263" t="s">
        <v>1761</v>
      </c>
      <c r="AL34" s="263" t="s">
        <v>1533</v>
      </c>
      <c r="AM34" s="263" t="s">
        <v>937</v>
      </c>
      <c r="AN34" s="263">
        <v>0.25</v>
      </c>
      <c r="AO34" s="263">
        <v>0</v>
      </c>
      <c r="AP34" s="263">
        <v>0</v>
      </c>
      <c r="AQ34" s="263">
        <v>0</v>
      </c>
      <c r="AR34" s="263">
        <v>0</v>
      </c>
      <c r="AS34" s="263">
        <v>0.25</v>
      </c>
      <c r="AT34" s="263" t="s">
        <v>952</v>
      </c>
      <c r="AU34" s="256" t="s">
        <v>1434</v>
      </c>
      <c r="AV34" s="262">
        <v>2.5</v>
      </c>
      <c r="AW34" s="262"/>
      <c r="AX34" s="262"/>
      <c r="AY34" s="262"/>
      <c r="AZ34" s="262"/>
      <c r="BA34" s="262"/>
      <c r="BB34" s="256" t="s">
        <v>2371</v>
      </c>
      <c r="BC34" s="264">
        <v>45737</v>
      </c>
      <c r="BD34" s="256" t="s">
        <v>188</v>
      </c>
      <c r="BE34" s="256" t="s">
        <v>186</v>
      </c>
      <c r="BF34" s="262">
        <v>2.5</v>
      </c>
      <c r="BG34" s="262"/>
      <c r="BH34" s="262"/>
      <c r="BI34" s="262"/>
      <c r="BJ34" s="262"/>
      <c r="BK34" s="262"/>
      <c r="BL34" s="262"/>
      <c r="BM34" s="262">
        <v>2.5</v>
      </c>
      <c r="BN34" s="262">
        <v>2.5</v>
      </c>
      <c r="BO34" s="265" t="s">
        <v>616</v>
      </c>
      <c r="BP34" s="265">
        <v>2.5</v>
      </c>
      <c r="BQ34" s="271" t="s">
        <v>2451</v>
      </c>
      <c r="BR34" s="262">
        <v>2.5</v>
      </c>
      <c r="BS34" s="256" t="s">
        <v>23</v>
      </c>
      <c r="BT34" s="262" t="s">
        <v>169</v>
      </c>
      <c r="BU34" s="256" t="s">
        <v>121</v>
      </c>
      <c r="BV34" s="256" t="s">
        <v>1859</v>
      </c>
      <c r="BW34" s="256" t="s">
        <v>2522</v>
      </c>
      <c r="BX34" s="262">
        <f t="shared" si="6"/>
        <v>2.5</v>
      </c>
      <c r="BY34" s="256" t="s">
        <v>158</v>
      </c>
      <c r="BZ34" s="256" t="s">
        <v>1337</v>
      </c>
      <c r="CA34" s="256">
        <v>0</v>
      </c>
      <c r="CB34" s="256">
        <v>0</v>
      </c>
      <c r="CC34" s="256">
        <v>0</v>
      </c>
      <c r="CD34" s="256">
        <v>2.5</v>
      </c>
      <c r="CE34" s="266">
        <v>2.5</v>
      </c>
      <c r="CF34" s="266">
        <v>0.2</v>
      </c>
      <c r="CG34" s="265" t="s">
        <v>1029</v>
      </c>
      <c r="CH34" s="265" t="s">
        <v>2644</v>
      </c>
      <c r="CI34" s="266">
        <v>2.5</v>
      </c>
      <c r="CJ34" s="266">
        <v>0</v>
      </c>
      <c r="CK34" s="267">
        <v>2025.0344</v>
      </c>
      <c r="CL34" s="265" t="s">
        <v>24</v>
      </c>
      <c r="CM34" s="265">
        <v>2.5</v>
      </c>
      <c r="CN34" s="265" t="s">
        <v>289</v>
      </c>
      <c r="CO34" s="265">
        <v>2.5</v>
      </c>
      <c r="CP34" s="266" t="s">
        <v>315</v>
      </c>
      <c r="CQ34" s="255" t="s">
        <v>98</v>
      </c>
      <c r="CR34" s="255" t="s">
        <v>1560</v>
      </c>
      <c r="CS34" s="255" t="s">
        <v>1559</v>
      </c>
      <c r="CT34" s="268" t="s">
        <v>981</v>
      </c>
      <c r="CU34" s="268" t="s">
        <v>1712</v>
      </c>
      <c r="CV34" s="268" t="s">
        <v>1704</v>
      </c>
      <c r="CW34" s="255" t="s">
        <v>446</v>
      </c>
      <c r="CX34" s="255" t="s">
        <v>447</v>
      </c>
      <c r="CY34" s="255" t="s">
        <v>448</v>
      </c>
      <c r="CZ34" s="255" t="s">
        <v>449</v>
      </c>
      <c r="DA34" s="255" t="s">
        <v>450</v>
      </c>
      <c r="DB34" s="255"/>
      <c r="DC34" s="255"/>
      <c r="DD34" s="255"/>
      <c r="DE34" s="255"/>
      <c r="DF34" s="255"/>
      <c r="DG34" s="255"/>
      <c r="DH34" s="255"/>
      <c r="DI34" s="255" t="s">
        <v>2281</v>
      </c>
      <c r="DJ34" s="255"/>
      <c r="DK34" s="255"/>
      <c r="DL34" s="255">
        <f t="shared" si="1"/>
        <v>5</v>
      </c>
    </row>
    <row r="35" spans="1:116" ht="25.5" x14ac:dyDescent="0.2">
      <c r="A35" s="111"/>
      <c r="B35" s="112" t="s">
        <v>60</v>
      </c>
      <c r="C35" s="113">
        <v>391</v>
      </c>
      <c r="D35" s="131" t="s">
        <v>1</v>
      </c>
      <c r="E35" s="124" t="s">
        <v>480</v>
      </c>
      <c r="F35" s="121" t="s">
        <v>1352</v>
      </c>
      <c r="G35" s="121" t="s">
        <v>2230</v>
      </c>
      <c r="H35" s="121" t="s">
        <v>2593</v>
      </c>
      <c r="I35" s="122" t="s">
        <v>2231</v>
      </c>
      <c r="J35" s="121" t="s">
        <v>2122</v>
      </c>
      <c r="K35" s="124" t="s">
        <v>1298</v>
      </c>
      <c r="L35" s="124" t="s">
        <v>555</v>
      </c>
      <c r="M35" s="113">
        <v>2</v>
      </c>
      <c r="N35" s="113">
        <v>4</v>
      </c>
      <c r="O35" s="113">
        <v>4</v>
      </c>
      <c r="P35" s="113">
        <v>4</v>
      </c>
      <c r="Q35" s="113">
        <v>1</v>
      </c>
      <c r="R35" s="113">
        <v>4</v>
      </c>
      <c r="S35" s="113">
        <v>4</v>
      </c>
      <c r="T35" s="113">
        <v>2</v>
      </c>
      <c r="U35" s="113">
        <v>4</v>
      </c>
      <c r="V35" s="113"/>
      <c r="W35" s="113"/>
      <c r="X35" s="113"/>
      <c r="Y35" s="113"/>
      <c r="Z35" s="113"/>
      <c r="AA35" s="113">
        <v>29</v>
      </c>
      <c r="AB35" s="113">
        <v>122</v>
      </c>
      <c r="AC35" s="125">
        <f t="shared" si="5"/>
        <v>136.5</v>
      </c>
      <c r="AD35" s="116">
        <v>2</v>
      </c>
      <c r="AE35" s="116" t="s">
        <v>1984</v>
      </c>
      <c r="AF35" s="116"/>
      <c r="AG35" s="116"/>
      <c r="AH35" s="114">
        <v>0.2</v>
      </c>
      <c r="AI35" s="116" t="s">
        <v>298</v>
      </c>
      <c r="AJ35" s="116" t="s">
        <v>2023</v>
      </c>
      <c r="AK35" s="114" t="s">
        <v>1760</v>
      </c>
      <c r="AL35" s="114" t="s">
        <v>1247</v>
      </c>
      <c r="AM35" s="114" t="s">
        <v>709</v>
      </c>
      <c r="AN35" s="114">
        <v>0.2</v>
      </c>
      <c r="AO35" s="114">
        <v>0</v>
      </c>
      <c r="AP35" s="114">
        <v>0.2</v>
      </c>
      <c r="AQ35" s="114">
        <v>0.2</v>
      </c>
      <c r="AR35" s="114">
        <v>0</v>
      </c>
      <c r="AS35" s="114">
        <v>0.2</v>
      </c>
      <c r="AT35" s="114" t="s">
        <v>952</v>
      </c>
      <c r="AU35" s="113" t="s">
        <v>1404</v>
      </c>
      <c r="AV35" s="116">
        <v>2</v>
      </c>
      <c r="AW35" s="116"/>
      <c r="AX35" s="116"/>
      <c r="AY35" s="116"/>
      <c r="AZ35" s="116"/>
      <c r="BA35" s="116"/>
      <c r="BB35" s="113" t="s">
        <v>2372</v>
      </c>
      <c r="BC35" s="128">
        <v>45737</v>
      </c>
      <c r="BD35" s="113" t="s">
        <v>188</v>
      </c>
      <c r="BE35" s="113" t="s">
        <v>186</v>
      </c>
      <c r="BF35" s="116">
        <v>2</v>
      </c>
      <c r="BG35" s="116"/>
      <c r="BH35" s="116"/>
      <c r="BI35" s="116"/>
      <c r="BJ35" s="116"/>
      <c r="BK35" s="116"/>
      <c r="BL35" s="116"/>
      <c r="BM35" s="116">
        <v>2</v>
      </c>
      <c r="BN35" s="116">
        <v>2</v>
      </c>
      <c r="BO35" s="117" t="s">
        <v>615</v>
      </c>
      <c r="BP35" s="117">
        <v>2</v>
      </c>
      <c r="BQ35" s="113" t="s">
        <v>2452</v>
      </c>
      <c r="BR35" s="116">
        <v>2</v>
      </c>
      <c r="BS35" s="113" t="s">
        <v>23</v>
      </c>
      <c r="BT35" s="116" t="s">
        <v>169</v>
      </c>
      <c r="BU35" s="113" t="s">
        <v>136</v>
      </c>
      <c r="BV35" s="113" t="s">
        <v>1860</v>
      </c>
      <c r="BW35" s="113" t="s">
        <v>2523</v>
      </c>
      <c r="BX35" s="116">
        <f t="shared" si="6"/>
        <v>2</v>
      </c>
      <c r="BY35" s="113" t="s">
        <v>158</v>
      </c>
      <c r="BZ35" s="113" t="s">
        <v>1335</v>
      </c>
      <c r="CA35" s="113">
        <v>0</v>
      </c>
      <c r="CB35" s="113">
        <v>0</v>
      </c>
      <c r="CC35" s="113">
        <v>0</v>
      </c>
      <c r="CD35" s="113">
        <v>2</v>
      </c>
      <c r="CE35" s="118">
        <v>2</v>
      </c>
      <c r="CF35" s="118">
        <v>0.1</v>
      </c>
      <c r="CG35" s="117" t="s">
        <v>1030</v>
      </c>
      <c r="CH35" s="117" t="s">
        <v>2644</v>
      </c>
      <c r="CI35" s="118">
        <v>2</v>
      </c>
      <c r="CJ35" s="118">
        <v>0</v>
      </c>
      <c r="CK35" s="119">
        <v>2025.0345</v>
      </c>
      <c r="CL35" s="117" t="s">
        <v>318</v>
      </c>
      <c r="CM35" s="117">
        <v>2</v>
      </c>
      <c r="CN35" s="117" t="s">
        <v>289</v>
      </c>
      <c r="CO35" s="117">
        <v>2</v>
      </c>
      <c r="CP35" s="118" t="s">
        <v>315</v>
      </c>
      <c r="CQ35" s="135" t="s">
        <v>1527</v>
      </c>
      <c r="CR35" s="135" t="s">
        <v>1561</v>
      </c>
      <c r="CS35" s="135" t="s">
        <v>1562</v>
      </c>
      <c r="CT35" s="129" t="s">
        <v>982</v>
      </c>
      <c r="CU35" s="129" t="s">
        <v>1714</v>
      </c>
      <c r="CV35" s="129" t="s">
        <v>1705</v>
      </c>
      <c r="CW35" s="112" t="s">
        <v>508</v>
      </c>
      <c r="CX35" s="112" t="s">
        <v>509</v>
      </c>
      <c r="CY35" s="112" t="s">
        <v>510</v>
      </c>
      <c r="CZ35" s="112" t="s">
        <v>511</v>
      </c>
      <c r="DA35" s="112"/>
      <c r="DB35" s="112"/>
      <c r="DC35" s="112"/>
      <c r="DD35" s="112"/>
      <c r="DE35" s="112"/>
      <c r="DF35" s="112"/>
      <c r="DG35" s="112"/>
      <c r="DH35" s="112"/>
      <c r="DI35" s="112" t="s">
        <v>2281</v>
      </c>
      <c r="DJ35" s="112"/>
      <c r="DK35" s="112"/>
      <c r="DL35" s="112">
        <f t="shared" si="1"/>
        <v>4</v>
      </c>
    </row>
    <row r="36" spans="1:116" s="253" customFormat="1" ht="25.5" x14ac:dyDescent="0.2">
      <c r="A36" s="254"/>
      <c r="B36" s="255" t="s">
        <v>61</v>
      </c>
      <c r="C36" s="256">
        <v>392</v>
      </c>
      <c r="D36" s="274" t="s">
        <v>13</v>
      </c>
      <c r="E36" s="260" t="s">
        <v>480</v>
      </c>
      <c r="F36" s="258" t="s">
        <v>1352</v>
      </c>
      <c r="G36" s="258" t="s">
        <v>2230</v>
      </c>
      <c r="H36" s="258" t="s">
        <v>2593</v>
      </c>
      <c r="I36" s="259" t="s">
        <v>2231</v>
      </c>
      <c r="J36" s="258" t="s">
        <v>2123</v>
      </c>
      <c r="K36" s="260" t="s">
        <v>1198</v>
      </c>
      <c r="L36" s="260" t="s">
        <v>556</v>
      </c>
      <c r="M36" s="256">
        <v>1</v>
      </c>
      <c r="N36" s="256">
        <v>4</v>
      </c>
      <c r="O36" s="256">
        <v>1</v>
      </c>
      <c r="P36" s="256">
        <v>4</v>
      </c>
      <c r="Q36" s="256">
        <v>5</v>
      </c>
      <c r="R36" s="256">
        <v>1</v>
      </c>
      <c r="S36" s="256">
        <v>4</v>
      </c>
      <c r="T36" s="256">
        <v>1</v>
      </c>
      <c r="U36" s="256">
        <v>1</v>
      </c>
      <c r="V36" s="256">
        <v>9</v>
      </c>
      <c r="W36" s="256"/>
      <c r="X36" s="256"/>
      <c r="Y36" s="256"/>
      <c r="Z36" s="256"/>
      <c r="AA36" s="256">
        <v>31</v>
      </c>
      <c r="AB36" s="256">
        <v>150</v>
      </c>
      <c r="AC36" s="261">
        <f t="shared" si="5"/>
        <v>165.5</v>
      </c>
      <c r="AD36" s="262">
        <v>3</v>
      </c>
      <c r="AE36" s="262"/>
      <c r="AF36" s="262"/>
      <c r="AG36" s="262"/>
      <c r="AH36" s="263">
        <v>0.3</v>
      </c>
      <c r="AI36" s="262" t="s">
        <v>298</v>
      </c>
      <c r="AJ36" s="262" t="s">
        <v>2024</v>
      </c>
      <c r="AK36" s="263" t="s">
        <v>1759</v>
      </c>
      <c r="AL36" s="263" t="s">
        <v>1248</v>
      </c>
      <c r="AM36" s="263" t="s">
        <v>707</v>
      </c>
      <c r="AN36" s="263">
        <v>0.3</v>
      </c>
      <c r="AO36" s="263">
        <v>0.3</v>
      </c>
      <c r="AP36" s="263">
        <v>0.3</v>
      </c>
      <c r="AQ36" s="263">
        <v>0.3</v>
      </c>
      <c r="AR36" s="263">
        <v>0</v>
      </c>
      <c r="AS36" s="263">
        <v>0</v>
      </c>
      <c r="AT36" s="263" t="s">
        <v>952</v>
      </c>
      <c r="AU36" s="256" t="s">
        <v>1405</v>
      </c>
      <c r="AV36" s="262">
        <v>3</v>
      </c>
      <c r="AW36" s="262"/>
      <c r="AX36" s="262"/>
      <c r="AY36" s="262"/>
      <c r="AZ36" s="262"/>
      <c r="BA36" s="262"/>
      <c r="BB36" s="256" t="s">
        <v>2373</v>
      </c>
      <c r="BC36" s="264">
        <v>45737</v>
      </c>
      <c r="BD36" s="256" t="s">
        <v>2423</v>
      </c>
      <c r="BE36" s="256" t="s">
        <v>186</v>
      </c>
      <c r="BF36" s="262">
        <v>3</v>
      </c>
      <c r="BG36" s="262"/>
      <c r="BH36" s="262"/>
      <c r="BI36" s="262"/>
      <c r="BJ36" s="262"/>
      <c r="BK36" s="262"/>
      <c r="BL36" s="262"/>
      <c r="BM36" s="262">
        <v>3</v>
      </c>
      <c r="BN36" s="262">
        <v>3</v>
      </c>
      <c r="BO36" s="265" t="s">
        <v>617</v>
      </c>
      <c r="BP36" s="265">
        <v>3</v>
      </c>
      <c r="BQ36" s="256" t="s">
        <v>2453</v>
      </c>
      <c r="BR36" s="262">
        <v>3</v>
      </c>
      <c r="BS36" s="256" t="s">
        <v>23</v>
      </c>
      <c r="BT36" s="262" t="s">
        <v>169</v>
      </c>
      <c r="BU36" s="256" t="s">
        <v>140</v>
      </c>
      <c r="BV36" s="256" t="s">
        <v>1861</v>
      </c>
      <c r="BW36" s="256" t="s">
        <v>2524</v>
      </c>
      <c r="BX36" s="262">
        <f t="shared" si="6"/>
        <v>3</v>
      </c>
      <c r="BY36" s="256" t="s">
        <v>158</v>
      </c>
      <c r="BZ36" s="256" t="s">
        <v>1338</v>
      </c>
      <c r="CA36" s="256">
        <v>3</v>
      </c>
      <c r="CB36" s="256">
        <v>0</v>
      </c>
      <c r="CC36" s="256">
        <v>0</v>
      </c>
      <c r="CD36" s="256">
        <v>3</v>
      </c>
      <c r="CE36" s="266">
        <v>3</v>
      </c>
      <c r="CF36" s="266">
        <v>0.3</v>
      </c>
      <c r="CG36" s="265" t="s">
        <v>1031</v>
      </c>
      <c r="CH36" s="265" t="s">
        <v>2644</v>
      </c>
      <c r="CI36" s="266">
        <v>3</v>
      </c>
      <c r="CJ36" s="266">
        <v>0</v>
      </c>
      <c r="CK36" s="267">
        <v>2025.0346</v>
      </c>
      <c r="CL36" s="265" t="s">
        <v>318</v>
      </c>
      <c r="CM36" s="265">
        <v>3</v>
      </c>
      <c r="CN36" s="265" t="s">
        <v>289</v>
      </c>
      <c r="CO36" s="265">
        <v>3</v>
      </c>
      <c r="CP36" s="266" t="s">
        <v>315</v>
      </c>
      <c r="CQ36" s="255" t="s">
        <v>30</v>
      </c>
      <c r="CR36" s="255" t="s">
        <v>1563</v>
      </c>
      <c r="CS36" s="255" t="s">
        <v>1564</v>
      </c>
      <c r="CT36" s="268" t="s">
        <v>983</v>
      </c>
      <c r="CU36" s="268" t="s">
        <v>1713</v>
      </c>
      <c r="CV36" s="268" t="s">
        <v>1705</v>
      </c>
      <c r="CW36" s="255" t="s">
        <v>512</v>
      </c>
      <c r="CX36" s="255" t="s">
        <v>513</v>
      </c>
      <c r="CY36" s="255" t="s">
        <v>518</v>
      </c>
      <c r="CZ36" s="255" t="s">
        <v>517</v>
      </c>
      <c r="DA36" s="255" t="s">
        <v>514</v>
      </c>
      <c r="DB36" s="255" t="s">
        <v>516</v>
      </c>
      <c r="DC36" s="255" t="s">
        <v>515</v>
      </c>
      <c r="DD36" s="255" t="s">
        <v>519</v>
      </c>
      <c r="DE36" s="255"/>
      <c r="DF36" s="255"/>
      <c r="DG36" s="255"/>
      <c r="DH36" s="255"/>
      <c r="DI36" s="255" t="s">
        <v>2281</v>
      </c>
      <c r="DJ36" s="255"/>
      <c r="DK36" s="255"/>
      <c r="DL36" s="255">
        <f t="shared" si="1"/>
        <v>8</v>
      </c>
    </row>
    <row r="37" spans="1:116" ht="26.25" thickBot="1" x14ac:dyDescent="0.25">
      <c r="A37" s="196"/>
      <c r="B37" s="197" t="s">
        <v>175</v>
      </c>
      <c r="C37" s="198">
        <v>393</v>
      </c>
      <c r="D37" s="215" t="s">
        <v>173</v>
      </c>
      <c r="E37" s="202" t="s">
        <v>480</v>
      </c>
      <c r="F37" s="200" t="s">
        <v>1352</v>
      </c>
      <c r="G37" s="200" t="s">
        <v>2230</v>
      </c>
      <c r="H37" s="200" t="s">
        <v>2593</v>
      </c>
      <c r="I37" s="201" t="s">
        <v>2231</v>
      </c>
      <c r="J37" s="200" t="s">
        <v>2124</v>
      </c>
      <c r="K37" s="202" t="s">
        <v>1177</v>
      </c>
      <c r="L37" s="202" t="s">
        <v>557</v>
      </c>
      <c r="M37" s="198" t="s">
        <v>1973</v>
      </c>
      <c r="N37" s="198" t="s">
        <v>1979</v>
      </c>
      <c r="O37" s="198" t="s">
        <v>1973</v>
      </c>
      <c r="P37" s="198" t="s">
        <v>1973</v>
      </c>
      <c r="Q37" s="198" t="s">
        <v>1973</v>
      </c>
      <c r="R37" s="198" t="s">
        <v>1973</v>
      </c>
      <c r="S37" s="198"/>
      <c r="T37" s="198"/>
      <c r="U37" s="198"/>
      <c r="V37" s="198"/>
      <c r="W37" s="198"/>
      <c r="X37" s="198"/>
      <c r="Y37" s="198"/>
      <c r="Z37" s="198"/>
      <c r="AA37" s="198">
        <v>25</v>
      </c>
      <c r="AB37" s="198">
        <v>58</v>
      </c>
      <c r="AC37" s="203">
        <f t="shared" si="5"/>
        <v>70.5</v>
      </c>
      <c r="AD37" s="204">
        <v>1</v>
      </c>
      <c r="AE37" s="204" t="s">
        <v>1984</v>
      </c>
      <c r="AF37" s="204" t="s">
        <v>1984</v>
      </c>
      <c r="AG37" s="204" t="s">
        <v>1984</v>
      </c>
      <c r="AH37" s="205">
        <v>0.1</v>
      </c>
      <c r="AI37" s="204" t="s">
        <v>298</v>
      </c>
      <c r="AJ37" s="204" t="s">
        <v>2022</v>
      </c>
      <c r="AK37" s="205" t="s">
        <v>1758</v>
      </c>
      <c r="AL37" s="205" t="s">
        <v>1101</v>
      </c>
      <c r="AM37" s="205" t="s">
        <v>708</v>
      </c>
      <c r="AN37" s="205">
        <v>0.1</v>
      </c>
      <c r="AO37" s="205">
        <v>0</v>
      </c>
      <c r="AP37" s="205">
        <v>0</v>
      </c>
      <c r="AQ37" s="205">
        <v>0</v>
      </c>
      <c r="AR37" s="205">
        <v>0</v>
      </c>
      <c r="AS37" s="205">
        <v>0.1</v>
      </c>
      <c r="AT37" s="205" t="s">
        <v>952</v>
      </c>
      <c r="AU37" s="198" t="s">
        <v>1435</v>
      </c>
      <c r="AV37" s="204">
        <v>1.5</v>
      </c>
      <c r="AW37" s="204"/>
      <c r="AX37" s="204"/>
      <c r="AY37" s="204"/>
      <c r="AZ37" s="204"/>
      <c r="BA37" s="204"/>
      <c r="BB37" s="198" t="s">
        <v>2374</v>
      </c>
      <c r="BC37" s="217">
        <v>45737</v>
      </c>
      <c r="BD37" s="198" t="s">
        <v>2423</v>
      </c>
      <c r="BE37" s="198" t="s">
        <v>186</v>
      </c>
      <c r="BF37" s="204">
        <v>1</v>
      </c>
      <c r="BG37" s="204"/>
      <c r="BH37" s="204"/>
      <c r="BI37" s="204"/>
      <c r="BJ37" s="204"/>
      <c r="BK37" s="204"/>
      <c r="BL37" s="204"/>
      <c r="BM37" s="204">
        <v>1</v>
      </c>
      <c r="BN37" s="204">
        <v>1</v>
      </c>
      <c r="BO37" s="208" t="s">
        <v>612</v>
      </c>
      <c r="BP37" s="208">
        <v>1</v>
      </c>
      <c r="BQ37" s="209" t="s">
        <v>2454</v>
      </c>
      <c r="BR37" s="204">
        <v>1</v>
      </c>
      <c r="BS37" s="198" t="s">
        <v>23</v>
      </c>
      <c r="BT37" s="204" t="s">
        <v>169</v>
      </c>
      <c r="BU37" s="198" t="s">
        <v>181</v>
      </c>
      <c r="BV37" s="198" t="s">
        <v>1862</v>
      </c>
      <c r="BW37" s="198" t="s">
        <v>2525</v>
      </c>
      <c r="BX37" s="204">
        <f t="shared" si="6"/>
        <v>1</v>
      </c>
      <c r="BY37" s="198" t="s">
        <v>158</v>
      </c>
      <c r="BZ37" s="198" t="s">
        <v>1339</v>
      </c>
      <c r="CA37" s="198">
        <v>0</v>
      </c>
      <c r="CB37" s="198">
        <v>0</v>
      </c>
      <c r="CC37" s="198">
        <v>0</v>
      </c>
      <c r="CD37" s="198">
        <v>1</v>
      </c>
      <c r="CE37" s="210">
        <v>1</v>
      </c>
      <c r="CF37" s="210">
        <v>0</v>
      </c>
      <c r="CG37" s="208" t="s">
        <v>178</v>
      </c>
      <c r="CH37" s="208" t="s">
        <v>2644</v>
      </c>
      <c r="CI37" s="210">
        <v>1</v>
      </c>
      <c r="CJ37" s="210">
        <v>0</v>
      </c>
      <c r="CK37" s="211">
        <v>2025.0346999999999</v>
      </c>
      <c r="CL37" s="208" t="s">
        <v>318</v>
      </c>
      <c r="CM37" s="208">
        <v>1</v>
      </c>
      <c r="CN37" s="208" t="s">
        <v>289</v>
      </c>
      <c r="CO37" s="208">
        <v>1</v>
      </c>
      <c r="CP37" s="210" t="s">
        <v>315</v>
      </c>
      <c r="CQ37" s="197" t="s">
        <v>174</v>
      </c>
      <c r="CR37" s="197" t="s">
        <v>1565</v>
      </c>
      <c r="CS37" s="197" t="s">
        <v>1566</v>
      </c>
      <c r="CT37" s="218" t="s">
        <v>1613</v>
      </c>
      <c r="CU37" s="218" t="s">
        <v>1714</v>
      </c>
      <c r="CV37" s="218" t="s">
        <v>1704</v>
      </c>
      <c r="CW37" s="197" t="s">
        <v>520</v>
      </c>
      <c r="CX37" s="197" t="s">
        <v>521</v>
      </c>
      <c r="CY37" s="197" t="s">
        <v>522</v>
      </c>
      <c r="CZ37" s="197" t="s">
        <v>523</v>
      </c>
      <c r="DA37" s="197" t="s">
        <v>524</v>
      </c>
      <c r="DB37" s="197"/>
      <c r="DC37" s="197"/>
      <c r="DD37" s="197"/>
      <c r="DE37" s="197"/>
      <c r="DF37" s="197"/>
      <c r="DG37" s="197"/>
      <c r="DH37" s="197"/>
      <c r="DI37" s="197" t="s">
        <v>2281</v>
      </c>
      <c r="DJ37" s="197"/>
      <c r="DK37" s="197"/>
      <c r="DL37" s="197">
        <f t="shared" si="1"/>
        <v>5</v>
      </c>
    </row>
    <row r="38" spans="1:116" s="195" customFormat="1" ht="14.25" thickTop="1" thickBot="1" x14ac:dyDescent="0.25">
      <c r="A38" s="311"/>
      <c r="B38" s="178"/>
      <c r="C38" s="179"/>
      <c r="D38" s="180" t="s">
        <v>39</v>
      </c>
      <c r="E38" s="181"/>
      <c r="F38" s="181"/>
      <c r="G38" s="181"/>
      <c r="H38" s="181"/>
      <c r="I38" s="182"/>
      <c r="J38" s="181"/>
      <c r="K38" s="213"/>
      <c r="L38" s="213"/>
      <c r="M38" s="213"/>
      <c r="N38" s="213"/>
      <c r="O38" s="213"/>
      <c r="P38" s="213"/>
      <c r="Q38" s="213"/>
      <c r="R38" s="213"/>
      <c r="S38" s="213"/>
      <c r="T38" s="213"/>
      <c r="U38" s="213"/>
      <c r="V38" s="213"/>
      <c r="W38" s="213"/>
      <c r="X38" s="213"/>
      <c r="Y38" s="213"/>
      <c r="Z38" s="213"/>
      <c r="AA38" s="213"/>
      <c r="AB38" s="213"/>
      <c r="AC38" s="214"/>
      <c r="AD38" s="189"/>
      <c r="AE38" s="189"/>
      <c r="AF38" s="189"/>
      <c r="AG38" s="189"/>
      <c r="AH38" s="187"/>
      <c r="AI38" s="189"/>
      <c r="AJ38" s="189"/>
      <c r="AK38" s="187"/>
      <c r="AL38" s="187"/>
      <c r="AM38" s="187"/>
      <c r="AN38" s="187"/>
      <c r="AO38" s="187"/>
      <c r="AP38" s="187"/>
      <c r="AQ38" s="187"/>
      <c r="AR38" s="187"/>
      <c r="AS38" s="187"/>
      <c r="AT38" s="187"/>
      <c r="AU38" s="179"/>
      <c r="AV38" s="189"/>
      <c r="AW38" s="189"/>
      <c r="AX38" s="189"/>
      <c r="AY38" s="189"/>
      <c r="AZ38" s="189"/>
      <c r="BA38" s="189"/>
      <c r="BB38" s="179"/>
      <c r="BC38" s="179"/>
      <c r="BD38" s="179"/>
      <c r="BE38" s="179"/>
      <c r="BF38" s="189"/>
      <c r="BG38" s="189"/>
      <c r="BH38" s="189"/>
      <c r="BI38" s="189"/>
      <c r="BJ38" s="189"/>
      <c r="BK38" s="189"/>
      <c r="BL38" s="189"/>
      <c r="BM38" s="189"/>
      <c r="BN38" s="189"/>
      <c r="BO38" s="190"/>
      <c r="BP38" s="190"/>
      <c r="BQ38" s="179"/>
      <c r="BR38" s="189"/>
      <c r="BS38" s="179"/>
      <c r="BT38" s="189"/>
      <c r="BU38" s="179"/>
      <c r="BV38" s="179"/>
      <c r="BW38" s="179"/>
      <c r="BX38" s="189"/>
      <c r="BY38" s="179"/>
      <c r="BZ38" s="179"/>
      <c r="CA38" s="179"/>
      <c r="CB38" s="179"/>
      <c r="CC38" s="179"/>
      <c r="CD38" s="179"/>
      <c r="CE38" s="193"/>
      <c r="CF38" s="193"/>
      <c r="CG38" s="190"/>
      <c r="CH38" s="190"/>
      <c r="CI38" s="193"/>
      <c r="CJ38" s="193"/>
      <c r="CK38" s="194"/>
      <c r="CL38" s="190"/>
      <c r="CM38" s="190"/>
      <c r="CN38" s="190"/>
      <c r="CO38" s="190"/>
      <c r="CP38" s="193"/>
      <c r="CQ38" s="181"/>
      <c r="CR38" s="181"/>
      <c r="CS38" s="181"/>
      <c r="CT38" s="181"/>
      <c r="CU38" s="181"/>
      <c r="CV38" s="181"/>
      <c r="CW38" s="178"/>
      <c r="CX38" s="178"/>
      <c r="CY38" s="178"/>
      <c r="CZ38" s="178"/>
      <c r="DA38" s="178"/>
      <c r="DB38" s="178"/>
      <c r="DC38" s="178"/>
      <c r="DD38" s="178"/>
      <c r="DE38" s="178"/>
      <c r="DF38" s="178"/>
      <c r="DG38" s="178"/>
      <c r="DH38" s="178"/>
      <c r="DI38" s="178"/>
      <c r="DJ38" s="178"/>
      <c r="DK38" s="178"/>
      <c r="DL38" s="178"/>
    </row>
    <row r="39" spans="1:116" s="253" customFormat="1" ht="26.25" thickTop="1" x14ac:dyDescent="0.2">
      <c r="A39" s="237"/>
      <c r="B39" s="238" t="s">
        <v>64</v>
      </c>
      <c r="C39" s="239">
        <v>394</v>
      </c>
      <c r="D39" s="272" t="s">
        <v>15</v>
      </c>
      <c r="E39" s="244" t="s">
        <v>480</v>
      </c>
      <c r="F39" s="241" t="s">
        <v>1352</v>
      </c>
      <c r="G39" s="241" t="s">
        <v>2230</v>
      </c>
      <c r="H39" s="241" t="s">
        <v>2593</v>
      </c>
      <c r="I39" s="242" t="s">
        <v>2231</v>
      </c>
      <c r="J39" s="241" t="s">
        <v>2125</v>
      </c>
      <c r="K39" s="244" t="s">
        <v>1190</v>
      </c>
      <c r="L39" s="244" t="s">
        <v>558</v>
      </c>
      <c r="M39" s="239">
        <v>1</v>
      </c>
      <c r="N39" s="239">
        <v>4</v>
      </c>
      <c r="O39" s="239">
        <v>1</v>
      </c>
      <c r="P39" s="239">
        <v>1</v>
      </c>
      <c r="Q39" s="239">
        <v>1</v>
      </c>
      <c r="R39" s="239">
        <v>4</v>
      </c>
      <c r="S39" s="239">
        <v>4</v>
      </c>
      <c r="T39" s="239">
        <v>1</v>
      </c>
      <c r="U39" s="239">
        <v>10</v>
      </c>
      <c r="V39" s="239"/>
      <c r="W39" s="239"/>
      <c r="X39" s="239"/>
      <c r="Y39" s="239"/>
      <c r="Z39" s="239"/>
      <c r="AA39" s="239">
        <v>27</v>
      </c>
      <c r="AB39" s="239">
        <v>94</v>
      </c>
      <c r="AC39" s="245">
        <f t="shared" si="5"/>
        <v>107.5</v>
      </c>
      <c r="AD39" s="246">
        <v>2</v>
      </c>
      <c r="AE39" s="246"/>
      <c r="AF39" s="246"/>
      <c r="AG39" s="246"/>
      <c r="AH39" s="247">
        <v>0.2</v>
      </c>
      <c r="AI39" s="246" t="s">
        <v>298</v>
      </c>
      <c r="AJ39" s="246" t="s">
        <v>2025</v>
      </c>
      <c r="AK39" s="247" t="s">
        <v>1756</v>
      </c>
      <c r="AL39" s="247" t="s">
        <v>1266</v>
      </c>
      <c r="AM39" s="247" t="s">
        <v>706</v>
      </c>
      <c r="AN39" s="247">
        <v>0.2</v>
      </c>
      <c r="AO39" s="247">
        <v>0</v>
      </c>
      <c r="AP39" s="247">
        <v>0.2</v>
      </c>
      <c r="AQ39" s="247">
        <v>0.2</v>
      </c>
      <c r="AR39" s="247">
        <v>0</v>
      </c>
      <c r="AS39" s="247">
        <v>0</v>
      </c>
      <c r="AT39" s="247" t="s">
        <v>952</v>
      </c>
      <c r="AU39" s="239" t="s">
        <v>1410</v>
      </c>
      <c r="AV39" s="246">
        <v>2</v>
      </c>
      <c r="AW39" s="246"/>
      <c r="AX39" s="246"/>
      <c r="AY39" s="246"/>
      <c r="AZ39" s="246"/>
      <c r="BA39" s="246"/>
      <c r="BB39" s="239" t="s">
        <v>2375</v>
      </c>
      <c r="BC39" s="273">
        <v>45737</v>
      </c>
      <c r="BD39" s="239" t="s">
        <v>2351</v>
      </c>
      <c r="BE39" s="239" t="s">
        <v>186</v>
      </c>
      <c r="BF39" s="246">
        <v>2</v>
      </c>
      <c r="BG39" s="246"/>
      <c r="BH39" s="246"/>
      <c r="BI39" s="246"/>
      <c r="BJ39" s="246"/>
      <c r="BK39" s="246"/>
      <c r="BL39" s="246"/>
      <c r="BM39" s="246">
        <v>2</v>
      </c>
      <c r="BN39" s="246">
        <v>2</v>
      </c>
      <c r="BO39" s="250" t="s">
        <v>615</v>
      </c>
      <c r="BP39" s="250">
        <v>2</v>
      </c>
      <c r="BQ39" s="297" t="s">
        <v>2455</v>
      </c>
      <c r="BR39" s="246">
        <v>2</v>
      </c>
      <c r="BS39" s="239" t="s">
        <v>23</v>
      </c>
      <c r="BT39" s="246" t="s">
        <v>169</v>
      </c>
      <c r="BU39" s="239" t="s">
        <v>131</v>
      </c>
      <c r="BV39" s="239" t="s">
        <v>1863</v>
      </c>
      <c r="BW39" s="239" t="s">
        <v>2526</v>
      </c>
      <c r="BX39" s="246">
        <f>AN39*10</f>
        <v>2</v>
      </c>
      <c r="BY39" s="239" t="s">
        <v>158</v>
      </c>
      <c r="BZ39" s="239" t="s">
        <v>1340</v>
      </c>
      <c r="CA39" s="239">
        <v>2</v>
      </c>
      <c r="CB39" s="239">
        <v>0</v>
      </c>
      <c r="CC39" s="239">
        <v>0</v>
      </c>
      <c r="CD39" s="239">
        <v>0</v>
      </c>
      <c r="CE39" s="251">
        <v>2</v>
      </c>
      <c r="CF39" s="251">
        <v>0.2</v>
      </c>
      <c r="CG39" s="250" t="s">
        <v>1032</v>
      </c>
      <c r="CH39" s="250" t="s">
        <v>2643</v>
      </c>
      <c r="CI39" s="251">
        <v>2</v>
      </c>
      <c r="CJ39" s="251">
        <v>0</v>
      </c>
      <c r="CK39" s="252">
        <v>2025.0387000000001</v>
      </c>
      <c r="CL39" s="250" t="s">
        <v>318</v>
      </c>
      <c r="CM39" s="250">
        <v>2</v>
      </c>
      <c r="CN39" s="250" t="s">
        <v>289</v>
      </c>
      <c r="CO39" s="250">
        <v>2</v>
      </c>
      <c r="CP39" s="251" t="s">
        <v>290</v>
      </c>
      <c r="CQ39" s="244" t="s">
        <v>99</v>
      </c>
      <c r="CR39" s="244" t="s">
        <v>1640</v>
      </c>
      <c r="CS39" s="244" t="s">
        <v>1641</v>
      </c>
      <c r="CT39" s="244" t="s">
        <v>1614</v>
      </c>
      <c r="CU39" s="244" t="s">
        <v>1712</v>
      </c>
      <c r="CV39" s="244" t="s">
        <v>324</v>
      </c>
      <c r="CW39" s="238" t="s">
        <v>755</v>
      </c>
      <c r="CX39" s="238" t="s">
        <v>756</v>
      </c>
      <c r="CY39" s="238" t="s">
        <v>757</v>
      </c>
      <c r="CZ39" s="238" t="s">
        <v>758</v>
      </c>
      <c r="DA39" s="238" t="s">
        <v>759</v>
      </c>
      <c r="DB39" s="238" t="s">
        <v>760</v>
      </c>
      <c r="DC39" s="238" t="s">
        <v>761</v>
      </c>
      <c r="DD39" s="238"/>
      <c r="DE39" s="238"/>
      <c r="DF39" s="238"/>
      <c r="DG39" s="238"/>
      <c r="DH39" s="238"/>
      <c r="DI39" s="238" t="s">
        <v>2281</v>
      </c>
      <c r="DJ39" s="238"/>
      <c r="DK39" s="238"/>
      <c r="DL39" s="238">
        <f t="shared" si="1"/>
        <v>7</v>
      </c>
    </row>
    <row r="40" spans="1:116" ht="25.5" x14ac:dyDescent="0.2">
      <c r="A40" s="111"/>
      <c r="B40" s="112" t="s">
        <v>492</v>
      </c>
      <c r="C40" s="113">
        <v>395</v>
      </c>
      <c r="D40" s="131" t="s">
        <v>5</v>
      </c>
      <c r="E40" s="124" t="s">
        <v>480</v>
      </c>
      <c r="F40" s="121" t="s">
        <v>1352</v>
      </c>
      <c r="G40" s="121" t="s">
        <v>2230</v>
      </c>
      <c r="H40" s="121" t="s">
        <v>2593</v>
      </c>
      <c r="I40" s="122" t="s">
        <v>2231</v>
      </c>
      <c r="J40" s="121" t="s">
        <v>2126</v>
      </c>
      <c r="K40" s="124" t="s">
        <v>1191</v>
      </c>
      <c r="L40" s="124" t="s">
        <v>559</v>
      </c>
      <c r="M40" s="113">
        <v>1</v>
      </c>
      <c r="N40" s="113">
        <v>1</v>
      </c>
      <c r="O40" s="113">
        <v>1</v>
      </c>
      <c r="P40" s="113">
        <v>1</v>
      </c>
      <c r="Q40" s="113">
        <v>2</v>
      </c>
      <c r="R40" s="113">
        <v>1</v>
      </c>
      <c r="S40" s="113">
        <v>1</v>
      </c>
      <c r="T40" s="113">
        <v>10</v>
      </c>
      <c r="U40" s="113"/>
      <c r="V40" s="113"/>
      <c r="W40" s="113"/>
      <c r="X40" s="113"/>
      <c r="Y40" s="113"/>
      <c r="Z40" s="113"/>
      <c r="AA40" s="113">
        <v>18</v>
      </c>
      <c r="AB40" s="113">
        <v>78</v>
      </c>
      <c r="AC40" s="125">
        <f t="shared" si="5"/>
        <v>87</v>
      </c>
      <c r="AD40" s="116">
        <v>1.5</v>
      </c>
      <c r="AE40" s="116"/>
      <c r="AF40" s="116"/>
      <c r="AG40" s="116"/>
      <c r="AH40" s="114">
        <v>0.15</v>
      </c>
      <c r="AI40" s="116" t="s">
        <v>298</v>
      </c>
      <c r="AJ40" s="116" t="s">
        <v>2026</v>
      </c>
      <c r="AK40" s="114" t="s">
        <v>1755</v>
      </c>
      <c r="AL40" s="114" t="s">
        <v>1267</v>
      </c>
      <c r="AM40" s="114" t="s">
        <v>705</v>
      </c>
      <c r="AN40" s="114">
        <v>0.15</v>
      </c>
      <c r="AO40" s="114">
        <v>0</v>
      </c>
      <c r="AP40" s="114">
        <v>0.15</v>
      </c>
      <c r="AQ40" s="114">
        <v>0.15</v>
      </c>
      <c r="AR40" s="114">
        <v>0</v>
      </c>
      <c r="AS40" s="114">
        <v>0</v>
      </c>
      <c r="AT40" s="114" t="s">
        <v>952</v>
      </c>
      <c r="AU40" s="113" t="s">
        <v>1442</v>
      </c>
      <c r="AV40" s="116">
        <v>1.5</v>
      </c>
      <c r="AW40" s="116"/>
      <c r="AX40" s="116"/>
      <c r="AY40" s="116"/>
      <c r="AZ40" s="116"/>
      <c r="BA40" s="116"/>
      <c r="BB40" s="113" t="s">
        <v>2376</v>
      </c>
      <c r="BC40" s="128">
        <v>45737</v>
      </c>
      <c r="BD40" s="113" t="s">
        <v>188</v>
      </c>
      <c r="BE40" s="113" t="s">
        <v>186</v>
      </c>
      <c r="BF40" s="116">
        <v>1.5</v>
      </c>
      <c r="BG40" s="116"/>
      <c r="BH40" s="116"/>
      <c r="BI40" s="116"/>
      <c r="BJ40" s="116"/>
      <c r="BK40" s="116"/>
      <c r="BL40" s="116"/>
      <c r="BM40" s="116">
        <v>1.5</v>
      </c>
      <c r="BN40" s="116">
        <v>0</v>
      </c>
      <c r="BO40" s="117" t="s">
        <v>614</v>
      </c>
      <c r="BP40" s="117">
        <v>1.5</v>
      </c>
      <c r="BQ40" s="113" t="s">
        <v>2456</v>
      </c>
      <c r="BR40" s="116">
        <v>1.5</v>
      </c>
      <c r="BS40" s="113" t="s">
        <v>23</v>
      </c>
      <c r="BT40" s="116" t="s">
        <v>169</v>
      </c>
      <c r="BU40" s="113" t="s">
        <v>148</v>
      </c>
      <c r="BV40" s="113" t="s">
        <v>1864</v>
      </c>
      <c r="BW40" s="113" t="s">
        <v>2527</v>
      </c>
      <c r="BX40" s="116">
        <f>AN40*10</f>
        <v>1.5</v>
      </c>
      <c r="BY40" s="113" t="s">
        <v>158</v>
      </c>
      <c r="BZ40" s="113" t="s">
        <v>1341</v>
      </c>
      <c r="CA40" s="113">
        <v>1.5</v>
      </c>
      <c r="CB40" s="113">
        <v>0</v>
      </c>
      <c r="CC40" s="113">
        <v>0</v>
      </c>
      <c r="CD40" s="113">
        <v>1.5</v>
      </c>
      <c r="CE40" s="118">
        <v>1.5</v>
      </c>
      <c r="CF40" s="118">
        <v>0.1</v>
      </c>
      <c r="CG40" s="117" t="s">
        <v>1033</v>
      </c>
      <c r="CH40" s="117" t="s">
        <v>2643</v>
      </c>
      <c r="CI40" s="118">
        <v>1.5</v>
      </c>
      <c r="CJ40" s="118">
        <v>0</v>
      </c>
      <c r="CK40" s="119">
        <v>2025.0388</v>
      </c>
      <c r="CL40" s="117" t="s">
        <v>23</v>
      </c>
      <c r="CM40" s="117">
        <v>1.5</v>
      </c>
      <c r="CN40" s="117" t="s">
        <v>289</v>
      </c>
      <c r="CO40" s="117">
        <v>1.5</v>
      </c>
      <c r="CP40" s="118" t="s">
        <v>290</v>
      </c>
      <c r="CQ40" s="112" t="s">
        <v>100</v>
      </c>
      <c r="CR40" s="112" t="s">
        <v>1690</v>
      </c>
      <c r="CS40" s="112" t="s">
        <v>1691</v>
      </c>
      <c r="CT40" s="112" t="s">
        <v>988</v>
      </c>
      <c r="CU40" s="112" t="s">
        <v>1714</v>
      </c>
      <c r="CV40" s="112" t="s">
        <v>324</v>
      </c>
      <c r="CW40" s="112" t="s">
        <v>762</v>
      </c>
      <c r="CX40" s="112" t="s">
        <v>763</v>
      </c>
      <c r="CY40" s="112" t="s">
        <v>764</v>
      </c>
      <c r="CZ40" s="112" t="s">
        <v>765</v>
      </c>
      <c r="DA40" s="112" t="s">
        <v>766</v>
      </c>
      <c r="DB40" s="112" t="s">
        <v>767</v>
      </c>
      <c r="DC40" s="112" t="s">
        <v>768</v>
      </c>
      <c r="DD40" s="112"/>
      <c r="DE40" s="112"/>
      <c r="DF40" s="112"/>
      <c r="DG40" s="112"/>
      <c r="DH40" s="112"/>
      <c r="DI40" s="112" t="s">
        <v>2281</v>
      </c>
      <c r="DJ40" s="112"/>
      <c r="DK40" s="112"/>
      <c r="DL40" s="112">
        <f t="shared" si="1"/>
        <v>7</v>
      </c>
    </row>
    <row r="41" spans="1:116" s="253" customFormat="1" ht="26.25" x14ac:dyDescent="0.25">
      <c r="A41" s="254"/>
      <c r="B41" s="255" t="s">
        <v>65</v>
      </c>
      <c r="C41" s="256">
        <v>396</v>
      </c>
      <c r="D41" s="274" t="s">
        <v>1493</v>
      </c>
      <c r="E41" s="260" t="s">
        <v>480</v>
      </c>
      <c r="F41" s="258" t="s">
        <v>1352</v>
      </c>
      <c r="G41" s="258" t="s">
        <v>2230</v>
      </c>
      <c r="H41" s="258" t="s">
        <v>2593</v>
      </c>
      <c r="I41" s="259" t="s">
        <v>2231</v>
      </c>
      <c r="J41" s="258" t="s">
        <v>2127</v>
      </c>
      <c r="K41" s="260" t="s">
        <v>1514</v>
      </c>
      <c r="L41" s="260" t="s">
        <v>571</v>
      </c>
      <c r="M41" s="256" t="s">
        <v>1973</v>
      </c>
      <c r="N41" s="256" t="s">
        <v>1973</v>
      </c>
      <c r="O41" s="256" t="s">
        <v>1977</v>
      </c>
      <c r="P41" s="256" t="s">
        <v>1973</v>
      </c>
      <c r="Q41" s="256"/>
      <c r="R41" s="256"/>
      <c r="S41" s="256"/>
      <c r="T41" s="256"/>
      <c r="U41" s="256"/>
      <c r="V41" s="256"/>
      <c r="W41" s="256"/>
      <c r="X41" s="256"/>
      <c r="Y41" s="256"/>
      <c r="Z41" s="256"/>
      <c r="AA41" s="256">
        <v>18</v>
      </c>
      <c r="AB41" s="256">
        <v>67</v>
      </c>
      <c r="AC41" s="261">
        <f t="shared" si="5"/>
        <v>76</v>
      </c>
      <c r="AD41" s="262">
        <v>1</v>
      </c>
      <c r="AE41" s="262" t="s">
        <v>1984</v>
      </c>
      <c r="AF41" s="262" t="s">
        <v>1984</v>
      </c>
      <c r="AG41" s="262" t="s">
        <v>1984</v>
      </c>
      <c r="AH41" s="263">
        <v>0.1</v>
      </c>
      <c r="AI41" s="262" t="s">
        <v>298</v>
      </c>
      <c r="AJ41" s="262" t="s">
        <v>2027</v>
      </c>
      <c r="AK41" s="263" t="s">
        <v>1739</v>
      </c>
      <c r="AL41" s="263" t="s">
        <v>1464</v>
      </c>
      <c r="AM41" s="263" t="s">
        <v>1808</v>
      </c>
      <c r="AN41" s="263">
        <v>0.1</v>
      </c>
      <c r="AO41" s="263">
        <v>0.05</v>
      </c>
      <c r="AP41" s="263">
        <v>0.1</v>
      </c>
      <c r="AQ41" s="263">
        <v>0.1</v>
      </c>
      <c r="AR41" s="263">
        <v>0</v>
      </c>
      <c r="AS41" s="263">
        <v>0.05</v>
      </c>
      <c r="AT41" s="263" t="s">
        <v>952</v>
      </c>
      <c r="AU41" s="256" t="s">
        <v>1532</v>
      </c>
      <c r="AV41" s="262">
        <v>1</v>
      </c>
      <c r="AW41" s="262"/>
      <c r="AX41" s="262"/>
      <c r="AY41" s="262"/>
      <c r="AZ41" s="262"/>
      <c r="BA41" s="262"/>
      <c r="BB41" s="269" t="s">
        <v>2377</v>
      </c>
      <c r="BC41" s="270">
        <v>45737</v>
      </c>
      <c r="BD41" s="256" t="s">
        <v>2351</v>
      </c>
      <c r="BE41" s="256" t="s">
        <v>186</v>
      </c>
      <c r="BF41" s="262">
        <v>1</v>
      </c>
      <c r="BG41" s="262"/>
      <c r="BH41" s="262"/>
      <c r="BI41" s="262"/>
      <c r="BJ41" s="262"/>
      <c r="BK41" s="262"/>
      <c r="BL41" s="262"/>
      <c r="BM41" s="262">
        <v>1</v>
      </c>
      <c r="BN41" s="262">
        <v>1</v>
      </c>
      <c r="BO41" s="265" t="s">
        <v>612</v>
      </c>
      <c r="BP41" s="266">
        <v>1</v>
      </c>
      <c r="BQ41" s="256" t="s">
        <v>2457</v>
      </c>
      <c r="BR41" s="262">
        <v>1</v>
      </c>
      <c r="BS41" s="256" t="s">
        <v>23</v>
      </c>
      <c r="BT41" s="262" t="s">
        <v>169</v>
      </c>
      <c r="BU41" s="256"/>
      <c r="BV41" s="256" t="s">
        <v>1865</v>
      </c>
      <c r="BW41" s="256" t="s">
        <v>2528</v>
      </c>
      <c r="BX41" s="262">
        <v>1</v>
      </c>
      <c r="BY41" s="256" t="s">
        <v>158</v>
      </c>
      <c r="BZ41" s="256" t="s">
        <v>2628</v>
      </c>
      <c r="CA41" s="256">
        <v>1</v>
      </c>
      <c r="CB41" s="256">
        <v>0</v>
      </c>
      <c r="CC41" s="256">
        <v>0</v>
      </c>
      <c r="CD41" s="256">
        <v>0</v>
      </c>
      <c r="CE41" s="266">
        <v>1</v>
      </c>
      <c r="CF41" s="266" t="s">
        <v>169</v>
      </c>
      <c r="CG41" s="265" t="s">
        <v>169</v>
      </c>
      <c r="CH41" s="265" t="s">
        <v>2643</v>
      </c>
      <c r="CI41" s="266">
        <v>1</v>
      </c>
      <c r="CJ41" s="266">
        <v>0</v>
      </c>
      <c r="CK41" s="267">
        <v>2025.0389</v>
      </c>
      <c r="CL41" s="265" t="s">
        <v>23</v>
      </c>
      <c r="CM41" s="265">
        <v>1</v>
      </c>
      <c r="CN41" s="265" t="s">
        <v>289</v>
      </c>
      <c r="CO41" s="265">
        <v>1</v>
      </c>
      <c r="CP41" s="266" t="s">
        <v>290</v>
      </c>
      <c r="CQ41" s="255" t="s">
        <v>1495</v>
      </c>
      <c r="CR41" s="255" t="s">
        <v>1688</v>
      </c>
      <c r="CS41" s="255" t="s">
        <v>1689</v>
      </c>
      <c r="CT41" s="255" t="s">
        <v>1615</v>
      </c>
      <c r="CU41" s="255" t="s">
        <v>1712</v>
      </c>
      <c r="CV41" s="255" t="s">
        <v>324</v>
      </c>
      <c r="CW41" s="255" t="s">
        <v>1507</v>
      </c>
      <c r="CX41" s="255" t="s">
        <v>1508</v>
      </c>
      <c r="CY41" s="255" t="s">
        <v>1509</v>
      </c>
      <c r="CZ41" s="255" t="s">
        <v>1510</v>
      </c>
      <c r="DA41" s="255" t="s">
        <v>1511</v>
      </c>
      <c r="DB41" s="255" t="s">
        <v>1512</v>
      </c>
      <c r="DC41" s="277" t="s">
        <v>1513</v>
      </c>
      <c r="DD41" s="255"/>
      <c r="DE41" s="255"/>
      <c r="DF41" s="255"/>
      <c r="DG41" s="255"/>
      <c r="DH41" s="255"/>
      <c r="DI41" s="255" t="s">
        <v>2281</v>
      </c>
      <c r="DJ41" s="255"/>
      <c r="DK41" s="255"/>
      <c r="DL41" s="255">
        <f t="shared" si="1"/>
        <v>7</v>
      </c>
    </row>
    <row r="42" spans="1:116" ht="25.5" x14ac:dyDescent="0.2">
      <c r="A42" s="111"/>
      <c r="B42" s="112" t="s">
        <v>66</v>
      </c>
      <c r="C42" s="113">
        <v>397</v>
      </c>
      <c r="D42" s="131" t="s">
        <v>1950</v>
      </c>
      <c r="E42" s="124" t="s">
        <v>480</v>
      </c>
      <c r="F42" s="121" t="s">
        <v>1352</v>
      </c>
      <c r="G42" s="121" t="s">
        <v>2230</v>
      </c>
      <c r="H42" s="121" t="s">
        <v>2593</v>
      </c>
      <c r="I42" s="122" t="s">
        <v>2231</v>
      </c>
      <c r="J42" s="121" t="s">
        <v>2128</v>
      </c>
      <c r="K42" s="124" t="s">
        <v>1799</v>
      </c>
      <c r="L42" s="124" t="s">
        <v>572</v>
      </c>
      <c r="M42" s="113" t="s">
        <v>1979</v>
      </c>
      <c r="N42" s="113" t="s">
        <v>1979</v>
      </c>
      <c r="O42" s="113" t="s">
        <v>1973</v>
      </c>
      <c r="P42" s="113" t="s">
        <v>1973</v>
      </c>
      <c r="Q42" s="113" t="s">
        <v>1973</v>
      </c>
      <c r="R42" s="113" t="s">
        <v>1979</v>
      </c>
      <c r="S42" s="113" t="s">
        <v>1973</v>
      </c>
      <c r="T42" s="113" t="s">
        <v>1980</v>
      </c>
      <c r="U42" s="113"/>
      <c r="V42" s="113"/>
      <c r="W42" s="113"/>
      <c r="X42" s="113"/>
      <c r="Y42" s="113"/>
      <c r="Z42" s="113"/>
      <c r="AA42" s="113">
        <v>39</v>
      </c>
      <c r="AB42" s="113">
        <f>60+54</f>
        <v>114</v>
      </c>
      <c r="AC42" s="125">
        <f t="shared" si="5"/>
        <v>133.5</v>
      </c>
      <c r="AD42" s="116">
        <v>2</v>
      </c>
      <c r="AE42" s="116" t="s">
        <v>1984</v>
      </c>
      <c r="AF42" s="116" t="s">
        <v>1984</v>
      </c>
      <c r="AG42" s="116" t="s">
        <v>1984</v>
      </c>
      <c r="AH42" s="114"/>
      <c r="AI42" s="116"/>
      <c r="AJ42" s="116" t="s">
        <v>2028</v>
      </c>
      <c r="AK42" s="114" t="s">
        <v>1735</v>
      </c>
      <c r="AL42" s="114" t="s">
        <v>1463</v>
      </c>
      <c r="AM42" s="114" t="s">
        <v>1808</v>
      </c>
      <c r="AN42" s="114">
        <v>0.2</v>
      </c>
      <c r="AO42" s="114">
        <v>0</v>
      </c>
      <c r="AP42" s="114">
        <v>0.2</v>
      </c>
      <c r="AQ42" s="114">
        <v>0.2</v>
      </c>
      <c r="AR42" s="114">
        <v>0</v>
      </c>
      <c r="AS42" s="114">
        <v>0</v>
      </c>
      <c r="AT42" s="114" t="s">
        <v>952</v>
      </c>
      <c r="AU42" s="113" t="s">
        <v>2221</v>
      </c>
      <c r="AV42" s="125">
        <v>0</v>
      </c>
      <c r="AW42" s="116"/>
      <c r="AX42" s="116"/>
      <c r="AY42" s="116"/>
      <c r="AZ42" s="116"/>
      <c r="BA42" s="116"/>
      <c r="BB42" s="113" t="s">
        <v>2378</v>
      </c>
      <c r="BC42" s="128">
        <v>45737</v>
      </c>
      <c r="BD42" s="113" t="s">
        <v>2351</v>
      </c>
      <c r="BE42" s="113" t="s">
        <v>187</v>
      </c>
      <c r="BF42" s="116">
        <v>2</v>
      </c>
      <c r="BG42" s="116"/>
      <c r="BH42" s="116"/>
      <c r="BI42" s="116"/>
      <c r="BJ42" s="116"/>
      <c r="BK42" s="116"/>
      <c r="BL42" s="116"/>
      <c r="BM42" s="116">
        <v>2</v>
      </c>
      <c r="BN42" s="116">
        <v>2</v>
      </c>
      <c r="BO42" s="117" t="s">
        <v>615</v>
      </c>
      <c r="BP42" s="118">
        <v>2</v>
      </c>
      <c r="BQ42" s="113" t="s">
        <v>2458</v>
      </c>
      <c r="BR42" s="116">
        <v>2</v>
      </c>
      <c r="BS42" s="113" t="s">
        <v>23</v>
      </c>
      <c r="BT42" s="116" t="s">
        <v>169</v>
      </c>
      <c r="BU42" s="113"/>
      <c r="BV42" s="113" t="s">
        <v>1866</v>
      </c>
      <c r="BW42" s="113" t="s">
        <v>2529</v>
      </c>
      <c r="BX42" s="116">
        <v>2</v>
      </c>
      <c r="BY42" s="113" t="s">
        <v>158</v>
      </c>
      <c r="BZ42" s="113" t="s">
        <v>2629</v>
      </c>
      <c r="CA42" s="113">
        <v>2</v>
      </c>
      <c r="CB42" s="113">
        <v>0</v>
      </c>
      <c r="CC42" s="113">
        <v>0</v>
      </c>
      <c r="CD42" s="113">
        <v>0</v>
      </c>
      <c r="CE42" s="118">
        <v>2</v>
      </c>
      <c r="CF42" s="118" t="s">
        <v>169</v>
      </c>
      <c r="CG42" s="117" t="s">
        <v>169</v>
      </c>
      <c r="CH42" s="117" t="s">
        <v>2643</v>
      </c>
      <c r="CI42" s="118">
        <v>2</v>
      </c>
      <c r="CJ42" s="118">
        <v>0</v>
      </c>
      <c r="CK42" s="119">
        <v>2025.039</v>
      </c>
      <c r="CL42" s="117" t="s">
        <v>23</v>
      </c>
      <c r="CM42" s="117">
        <v>2</v>
      </c>
      <c r="CN42" s="117" t="s">
        <v>289</v>
      </c>
      <c r="CO42" s="117">
        <v>2</v>
      </c>
      <c r="CP42" s="118" t="s">
        <v>290</v>
      </c>
      <c r="CQ42" s="112" t="s">
        <v>1969</v>
      </c>
      <c r="CR42" s="112" t="s">
        <v>1970</v>
      </c>
      <c r="CS42" s="112" t="s">
        <v>1971</v>
      </c>
      <c r="CT42" s="112" t="s">
        <v>2341</v>
      </c>
      <c r="CU42" s="112" t="s">
        <v>1712</v>
      </c>
      <c r="CV42" s="112" t="s">
        <v>324</v>
      </c>
      <c r="CW42" s="112" t="s">
        <v>1995</v>
      </c>
      <c r="CX42" s="112" t="s">
        <v>1990</v>
      </c>
      <c r="CY42" s="112" t="s">
        <v>1991</v>
      </c>
      <c r="CZ42" s="112" t="s">
        <v>1992</v>
      </c>
      <c r="DA42" s="112" t="s">
        <v>1993</v>
      </c>
      <c r="DB42" s="112" t="s">
        <v>1994</v>
      </c>
      <c r="DC42" s="112"/>
      <c r="DD42" s="112"/>
      <c r="DE42" s="112"/>
      <c r="DF42" s="112"/>
      <c r="DG42" s="112"/>
      <c r="DH42" s="112"/>
      <c r="DI42" s="112" t="s">
        <v>2281</v>
      </c>
      <c r="DJ42" s="112"/>
      <c r="DK42" s="112"/>
      <c r="DL42" s="112">
        <f t="shared" si="1"/>
        <v>6</v>
      </c>
    </row>
    <row r="43" spans="1:116" s="253" customFormat="1" ht="25.5" x14ac:dyDescent="0.2">
      <c r="A43" s="254"/>
      <c r="B43" s="255" t="s">
        <v>67</v>
      </c>
      <c r="C43" s="256">
        <v>398</v>
      </c>
      <c r="D43" s="274" t="s">
        <v>308</v>
      </c>
      <c r="E43" s="260" t="s">
        <v>480</v>
      </c>
      <c r="F43" s="258" t="s">
        <v>1352</v>
      </c>
      <c r="G43" s="258" t="s">
        <v>2230</v>
      </c>
      <c r="H43" s="258" t="s">
        <v>2593</v>
      </c>
      <c r="I43" s="259" t="s">
        <v>2231</v>
      </c>
      <c r="J43" s="258" t="s">
        <v>2129</v>
      </c>
      <c r="K43" s="260" t="s">
        <v>1178</v>
      </c>
      <c r="L43" s="260" t="s">
        <v>573</v>
      </c>
      <c r="M43" s="256" t="s">
        <v>1973</v>
      </c>
      <c r="N43" s="256" t="s">
        <v>1973</v>
      </c>
      <c r="O43" s="256" t="s">
        <v>1980</v>
      </c>
      <c r="P43" s="256" t="s">
        <v>1975</v>
      </c>
      <c r="Q43" s="256" t="s">
        <v>1977</v>
      </c>
      <c r="R43" s="256" t="s">
        <v>1973</v>
      </c>
      <c r="S43" s="256" t="s">
        <v>1977</v>
      </c>
      <c r="T43" s="256"/>
      <c r="U43" s="256"/>
      <c r="V43" s="256"/>
      <c r="W43" s="256"/>
      <c r="X43" s="256"/>
      <c r="Y43" s="256"/>
      <c r="Z43" s="256"/>
      <c r="AA43" s="256">
        <v>39</v>
      </c>
      <c r="AB43" s="256">
        <v>66</v>
      </c>
      <c r="AC43" s="261">
        <f t="shared" si="5"/>
        <v>85.5</v>
      </c>
      <c r="AD43" s="262">
        <v>1.5</v>
      </c>
      <c r="AE43" s="262" t="s">
        <v>1984</v>
      </c>
      <c r="AF43" s="262" t="s">
        <v>1984</v>
      </c>
      <c r="AG43" s="262" t="s">
        <v>1984</v>
      </c>
      <c r="AH43" s="263">
        <v>0.15</v>
      </c>
      <c r="AI43" s="262" t="s">
        <v>298</v>
      </c>
      <c r="AJ43" s="262" t="s">
        <v>2029</v>
      </c>
      <c r="AK43" s="263" t="s">
        <v>1736</v>
      </c>
      <c r="AL43" s="263" t="s">
        <v>1107</v>
      </c>
      <c r="AM43" s="263" t="s">
        <v>673</v>
      </c>
      <c r="AN43" s="263">
        <v>0.15</v>
      </c>
      <c r="AO43" s="263">
        <v>0</v>
      </c>
      <c r="AP43" s="263">
        <v>0.15</v>
      </c>
      <c r="AQ43" s="263">
        <v>0.15</v>
      </c>
      <c r="AR43" s="263">
        <v>0</v>
      </c>
      <c r="AS43" s="263">
        <v>0</v>
      </c>
      <c r="AT43" s="263" t="s">
        <v>952</v>
      </c>
      <c r="AU43" s="256" t="s">
        <v>1443</v>
      </c>
      <c r="AV43" s="262">
        <v>1.5</v>
      </c>
      <c r="AW43" s="262"/>
      <c r="AX43" s="262"/>
      <c r="AY43" s="262"/>
      <c r="AZ43" s="262"/>
      <c r="BA43" s="262"/>
      <c r="BB43" s="269" t="s">
        <v>2379</v>
      </c>
      <c r="BC43" s="270">
        <v>45737</v>
      </c>
      <c r="BD43" s="256" t="s">
        <v>189</v>
      </c>
      <c r="BE43" s="256" t="s">
        <v>187</v>
      </c>
      <c r="BF43" s="262">
        <v>1.5</v>
      </c>
      <c r="BG43" s="262"/>
      <c r="BH43" s="262"/>
      <c r="BI43" s="262"/>
      <c r="BJ43" s="262"/>
      <c r="BK43" s="262"/>
      <c r="BL43" s="262"/>
      <c r="BM43" s="262">
        <v>1.5</v>
      </c>
      <c r="BN43" s="262">
        <v>0</v>
      </c>
      <c r="BO43" s="265" t="s">
        <v>614</v>
      </c>
      <c r="BP43" s="265">
        <v>1.5</v>
      </c>
      <c r="BQ43" s="256" t="s">
        <v>2459</v>
      </c>
      <c r="BR43" s="262">
        <v>1.5</v>
      </c>
      <c r="BS43" s="256" t="s">
        <v>23</v>
      </c>
      <c r="BT43" s="262" t="s">
        <v>169</v>
      </c>
      <c r="BU43" s="256" t="s">
        <v>310</v>
      </c>
      <c r="BV43" s="256" t="s">
        <v>1867</v>
      </c>
      <c r="BW43" s="256" t="s">
        <v>2530</v>
      </c>
      <c r="BX43" s="262">
        <f>AN43*10</f>
        <v>1.5</v>
      </c>
      <c r="BY43" s="256" t="s">
        <v>158</v>
      </c>
      <c r="BZ43" s="256" t="s">
        <v>1342</v>
      </c>
      <c r="CA43" s="256">
        <v>1.5</v>
      </c>
      <c r="CB43" s="256">
        <v>0</v>
      </c>
      <c r="CC43" s="256">
        <v>0</v>
      </c>
      <c r="CD43" s="256">
        <v>0</v>
      </c>
      <c r="CE43" s="266">
        <v>1.5</v>
      </c>
      <c r="CF43" s="266">
        <v>0.1</v>
      </c>
      <c r="CG43" s="265" t="s">
        <v>1013</v>
      </c>
      <c r="CH43" s="265" t="s">
        <v>2643</v>
      </c>
      <c r="CI43" s="266">
        <v>1.5</v>
      </c>
      <c r="CJ43" s="266">
        <v>0</v>
      </c>
      <c r="CK43" s="267">
        <v>2025.0391</v>
      </c>
      <c r="CL43" s="265" t="s">
        <v>23</v>
      </c>
      <c r="CM43" s="265">
        <v>1.5</v>
      </c>
      <c r="CN43" s="265" t="s">
        <v>289</v>
      </c>
      <c r="CO43" s="265">
        <v>1.5</v>
      </c>
      <c r="CP43" s="266" t="s">
        <v>290</v>
      </c>
      <c r="CQ43" s="275" t="s">
        <v>323</v>
      </c>
      <c r="CR43" s="275" t="s">
        <v>1686</v>
      </c>
      <c r="CS43" s="275" t="s">
        <v>1687</v>
      </c>
      <c r="CT43" s="275" t="s">
        <v>1616</v>
      </c>
      <c r="CU43" s="275" t="s">
        <v>1712</v>
      </c>
      <c r="CV43" s="275" t="s">
        <v>324</v>
      </c>
      <c r="CW43" s="255" t="s">
        <v>769</v>
      </c>
      <c r="CX43" s="255" t="s">
        <v>770</v>
      </c>
      <c r="CY43" s="255" t="s">
        <v>771</v>
      </c>
      <c r="CZ43" s="255" t="s">
        <v>772</v>
      </c>
      <c r="DA43" s="255"/>
      <c r="DB43" s="255"/>
      <c r="DC43" s="255"/>
      <c r="DD43" s="255"/>
      <c r="DE43" s="255"/>
      <c r="DF43" s="255"/>
      <c r="DG43" s="255"/>
      <c r="DH43" s="255"/>
      <c r="DI43" s="255" t="s">
        <v>2281</v>
      </c>
      <c r="DJ43" s="255"/>
      <c r="DK43" s="255"/>
      <c r="DL43" s="255">
        <f t="shared" si="1"/>
        <v>4</v>
      </c>
    </row>
    <row r="44" spans="1:116" ht="25.5" x14ac:dyDescent="0.2">
      <c r="A44" s="111"/>
      <c r="B44" s="112" t="s">
        <v>68</v>
      </c>
      <c r="C44" s="113">
        <v>399</v>
      </c>
      <c r="D44" s="131" t="s">
        <v>40</v>
      </c>
      <c r="E44" s="124" t="s">
        <v>480</v>
      </c>
      <c r="F44" s="121" t="s">
        <v>1352</v>
      </c>
      <c r="G44" s="121" t="s">
        <v>2230</v>
      </c>
      <c r="H44" s="121" t="s">
        <v>2593</v>
      </c>
      <c r="I44" s="122" t="s">
        <v>2231</v>
      </c>
      <c r="J44" s="121" t="s">
        <v>2130</v>
      </c>
      <c r="K44" s="124" t="s">
        <v>1179</v>
      </c>
      <c r="L44" s="124" t="s">
        <v>574</v>
      </c>
      <c r="M44" s="113" t="s">
        <v>1973</v>
      </c>
      <c r="N44" s="113" t="s">
        <v>1973</v>
      </c>
      <c r="O44" s="113" t="s">
        <v>1973</v>
      </c>
      <c r="P44" s="113" t="s">
        <v>1979</v>
      </c>
      <c r="Q44" s="113" t="s">
        <v>1973</v>
      </c>
      <c r="R44" s="113" t="s">
        <v>1977</v>
      </c>
      <c r="S44" s="113" t="s">
        <v>1979</v>
      </c>
      <c r="T44" s="113" t="s">
        <v>1979</v>
      </c>
      <c r="U44" s="113"/>
      <c r="V44" s="113"/>
      <c r="W44" s="113"/>
      <c r="X44" s="113"/>
      <c r="Y44" s="113"/>
      <c r="Z44" s="113"/>
      <c r="AA44" s="113">
        <v>32</v>
      </c>
      <c r="AB44" s="113">
        <f>60+58</f>
        <v>118</v>
      </c>
      <c r="AC44" s="125">
        <f t="shared" si="5"/>
        <v>134</v>
      </c>
      <c r="AD44" s="116">
        <v>2</v>
      </c>
      <c r="AE44" s="116" t="s">
        <v>1984</v>
      </c>
      <c r="AF44" s="116"/>
      <c r="AG44" s="116"/>
      <c r="AH44" s="114">
        <v>0.15</v>
      </c>
      <c r="AI44" s="116" t="s">
        <v>298</v>
      </c>
      <c r="AJ44" s="116" t="s">
        <v>2209</v>
      </c>
      <c r="AK44" s="114" t="s">
        <v>1828</v>
      </c>
      <c r="AL44" s="114" t="s">
        <v>1104</v>
      </c>
      <c r="AM44" s="114" t="s">
        <v>704</v>
      </c>
      <c r="AN44" s="114">
        <v>0.2</v>
      </c>
      <c r="AO44" s="114">
        <v>0</v>
      </c>
      <c r="AP44" s="114">
        <v>0.2</v>
      </c>
      <c r="AQ44" s="114">
        <v>0.2</v>
      </c>
      <c r="AR44" s="114">
        <v>0</v>
      </c>
      <c r="AS44" s="114">
        <v>0</v>
      </c>
      <c r="AT44" s="114" t="s">
        <v>952</v>
      </c>
      <c r="AU44" s="113" t="s">
        <v>1444</v>
      </c>
      <c r="AV44" s="116">
        <v>1.5</v>
      </c>
      <c r="AW44" s="116"/>
      <c r="AX44" s="116"/>
      <c r="AY44" s="116"/>
      <c r="AZ44" s="116"/>
      <c r="BA44" s="116"/>
      <c r="BB44" s="113" t="s">
        <v>2380</v>
      </c>
      <c r="BC44" s="128">
        <v>45737</v>
      </c>
      <c r="BD44" s="113" t="s">
        <v>189</v>
      </c>
      <c r="BE44" s="113" t="s">
        <v>187</v>
      </c>
      <c r="BF44" s="116">
        <v>1.5</v>
      </c>
      <c r="BG44" s="116"/>
      <c r="BH44" s="116"/>
      <c r="BI44" s="116"/>
      <c r="BJ44" s="116"/>
      <c r="BK44" s="116"/>
      <c r="BL44" s="116"/>
      <c r="BM44" s="116">
        <v>2</v>
      </c>
      <c r="BN44" s="116">
        <v>0</v>
      </c>
      <c r="BO44" s="117" t="s">
        <v>614</v>
      </c>
      <c r="BP44" s="117">
        <v>1.5</v>
      </c>
      <c r="BQ44" s="113" t="s">
        <v>2460</v>
      </c>
      <c r="BR44" s="116">
        <v>2</v>
      </c>
      <c r="BS44" s="113" t="s">
        <v>23</v>
      </c>
      <c r="BT44" s="116" t="s">
        <v>169</v>
      </c>
      <c r="BU44" s="113" t="s">
        <v>125</v>
      </c>
      <c r="BV44" s="113" t="s">
        <v>1868</v>
      </c>
      <c r="BW44" s="113" t="s">
        <v>2531</v>
      </c>
      <c r="BX44" s="116">
        <f>AN44*10</f>
        <v>2</v>
      </c>
      <c r="BY44" s="113" t="s">
        <v>158</v>
      </c>
      <c r="BZ44" s="113" t="s">
        <v>2630</v>
      </c>
      <c r="CA44" s="113">
        <v>2</v>
      </c>
      <c r="CB44" s="113">
        <v>0</v>
      </c>
      <c r="CC44" s="113">
        <v>0</v>
      </c>
      <c r="CD44" s="113">
        <v>0</v>
      </c>
      <c r="CE44" s="118">
        <v>2</v>
      </c>
      <c r="CF44" s="118">
        <v>0.1</v>
      </c>
      <c r="CG44" s="117" t="s">
        <v>1034</v>
      </c>
      <c r="CH44" s="117" t="s">
        <v>2643</v>
      </c>
      <c r="CI44" s="118">
        <v>2</v>
      </c>
      <c r="CJ44" s="118">
        <v>0</v>
      </c>
      <c r="CK44" s="119">
        <v>2025.0391999999999</v>
      </c>
      <c r="CL44" s="117" t="s">
        <v>23</v>
      </c>
      <c r="CM44" s="117">
        <v>1.5</v>
      </c>
      <c r="CN44" s="117" t="s">
        <v>289</v>
      </c>
      <c r="CO44" s="117">
        <v>1.5</v>
      </c>
      <c r="CP44" s="118" t="s">
        <v>290</v>
      </c>
      <c r="CQ44" s="112" t="s">
        <v>1002</v>
      </c>
      <c r="CR44" s="112" t="s">
        <v>1684</v>
      </c>
      <c r="CS44" s="112" t="s">
        <v>1685</v>
      </c>
      <c r="CT44" s="112" t="s">
        <v>1003</v>
      </c>
      <c r="CU44" s="112" t="s">
        <v>1712</v>
      </c>
      <c r="CV44" s="112" t="s">
        <v>324</v>
      </c>
      <c r="CW44" s="112" t="s">
        <v>773</v>
      </c>
      <c r="CX44" s="112" t="s">
        <v>774</v>
      </c>
      <c r="CY44" s="112" t="s">
        <v>775</v>
      </c>
      <c r="CZ44" s="112" t="s">
        <v>776</v>
      </c>
      <c r="DA44" s="112" t="s">
        <v>777</v>
      </c>
      <c r="DB44" s="112" t="s">
        <v>778</v>
      </c>
      <c r="DC44" s="112"/>
      <c r="DD44" s="112"/>
      <c r="DE44" s="112"/>
      <c r="DF44" s="112"/>
      <c r="DG44" s="112"/>
      <c r="DH44" s="112"/>
      <c r="DI44" s="112" t="s">
        <v>2284</v>
      </c>
      <c r="DJ44" s="112"/>
      <c r="DK44" s="112"/>
      <c r="DL44" s="112">
        <f t="shared" si="1"/>
        <v>6</v>
      </c>
    </row>
    <row r="45" spans="1:116" s="253" customFormat="1" ht="25.5" x14ac:dyDescent="0.2">
      <c r="A45" s="254"/>
      <c r="B45" s="255" t="s">
        <v>69</v>
      </c>
      <c r="C45" s="256">
        <v>400</v>
      </c>
      <c r="D45" s="274" t="s">
        <v>152</v>
      </c>
      <c r="E45" s="260" t="s">
        <v>482</v>
      </c>
      <c r="F45" s="258" t="s">
        <v>1354</v>
      </c>
      <c r="G45" s="258" t="s">
        <v>2244</v>
      </c>
      <c r="H45" s="258" t="s">
        <v>2593</v>
      </c>
      <c r="I45" s="259" t="s">
        <v>2245</v>
      </c>
      <c r="J45" s="258" t="s">
        <v>2131</v>
      </c>
      <c r="K45" s="260" t="s">
        <v>1180</v>
      </c>
      <c r="L45" s="260" t="s">
        <v>575</v>
      </c>
      <c r="M45" s="256">
        <v>1</v>
      </c>
      <c r="N45" s="256">
        <v>1</v>
      </c>
      <c r="O45" s="256">
        <v>6</v>
      </c>
      <c r="P45" s="256">
        <v>1</v>
      </c>
      <c r="Q45" s="256">
        <v>1</v>
      </c>
      <c r="R45" s="256">
        <v>10</v>
      </c>
      <c r="S45" s="256">
        <v>1</v>
      </c>
      <c r="T45" s="256">
        <v>1</v>
      </c>
      <c r="U45" s="256">
        <v>3</v>
      </c>
      <c r="V45" s="256">
        <v>1</v>
      </c>
      <c r="W45" s="256">
        <v>10</v>
      </c>
      <c r="X45" s="256"/>
      <c r="Y45" s="256"/>
      <c r="Z45" s="256"/>
      <c r="AA45" s="256">
        <v>36</v>
      </c>
      <c r="AB45" s="256">
        <v>131</v>
      </c>
      <c r="AC45" s="261">
        <f t="shared" si="5"/>
        <v>149</v>
      </c>
      <c r="AD45" s="262">
        <v>2.5</v>
      </c>
      <c r="AE45" s="262" t="s">
        <v>1987</v>
      </c>
      <c r="AF45" s="262"/>
      <c r="AG45" s="262"/>
      <c r="AH45" s="263">
        <v>0.25</v>
      </c>
      <c r="AI45" s="262" t="s">
        <v>298</v>
      </c>
      <c r="AJ45" s="262" t="s">
        <v>2030</v>
      </c>
      <c r="AK45" s="263" t="s">
        <v>1737</v>
      </c>
      <c r="AL45" s="263" t="s">
        <v>1086</v>
      </c>
      <c r="AM45" s="263" t="s">
        <v>703</v>
      </c>
      <c r="AN45" s="263">
        <v>0.25</v>
      </c>
      <c r="AO45" s="263">
        <v>0</v>
      </c>
      <c r="AP45" s="263">
        <v>0.25</v>
      </c>
      <c r="AQ45" s="263">
        <v>0.25</v>
      </c>
      <c r="AR45" s="263">
        <v>0</v>
      </c>
      <c r="AS45" s="263">
        <v>0</v>
      </c>
      <c r="AT45" s="263" t="s">
        <v>952</v>
      </c>
      <c r="AU45" s="256" t="s">
        <v>1445</v>
      </c>
      <c r="AV45" s="262">
        <v>2.5</v>
      </c>
      <c r="AW45" s="262"/>
      <c r="AX45" s="262"/>
      <c r="AY45" s="262"/>
      <c r="AZ45" s="262"/>
      <c r="BA45" s="262"/>
      <c r="BB45" s="256" t="s">
        <v>190</v>
      </c>
      <c r="BC45" s="256">
        <v>2016</v>
      </c>
      <c r="BD45" s="256" t="s">
        <v>191</v>
      </c>
      <c r="BE45" s="256" t="s">
        <v>187</v>
      </c>
      <c r="BF45" s="262">
        <v>2</v>
      </c>
      <c r="BG45" s="262"/>
      <c r="BH45" s="262"/>
      <c r="BI45" s="262"/>
      <c r="BJ45" s="262"/>
      <c r="BK45" s="262"/>
      <c r="BL45" s="262"/>
      <c r="BM45" s="262">
        <v>2.5</v>
      </c>
      <c r="BN45" s="262">
        <v>0</v>
      </c>
      <c r="BO45" s="265" t="s">
        <v>616</v>
      </c>
      <c r="BP45" s="265">
        <v>2.5</v>
      </c>
      <c r="BQ45" s="271" t="s">
        <v>2461</v>
      </c>
      <c r="BR45" s="298">
        <v>2.5</v>
      </c>
      <c r="BS45" s="256" t="s">
        <v>23</v>
      </c>
      <c r="BT45" s="262" t="s">
        <v>169</v>
      </c>
      <c r="BU45" s="256" t="s">
        <v>135</v>
      </c>
      <c r="BV45" s="256" t="s">
        <v>1869</v>
      </c>
      <c r="BW45" s="256" t="s">
        <v>2532</v>
      </c>
      <c r="BX45" s="262">
        <f>AN45*10</f>
        <v>2.5</v>
      </c>
      <c r="BY45" s="256" t="s">
        <v>158</v>
      </c>
      <c r="BZ45" s="256" t="s">
        <v>1343</v>
      </c>
      <c r="CA45" s="256">
        <v>2.5</v>
      </c>
      <c r="CB45" s="256">
        <v>0</v>
      </c>
      <c r="CC45" s="256">
        <v>0</v>
      </c>
      <c r="CD45" s="256">
        <v>0</v>
      </c>
      <c r="CE45" s="266">
        <v>2.5</v>
      </c>
      <c r="CF45" s="266">
        <v>0.2</v>
      </c>
      <c r="CG45" s="265" t="s">
        <v>1035</v>
      </c>
      <c r="CH45" s="265" t="s">
        <v>2643</v>
      </c>
      <c r="CI45" s="266">
        <v>2.5</v>
      </c>
      <c r="CJ45" s="266">
        <v>0</v>
      </c>
      <c r="CK45" s="267">
        <v>2025.0392999999999</v>
      </c>
      <c r="CL45" s="265" t="s">
        <v>23</v>
      </c>
      <c r="CM45" s="265">
        <v>2.5</v>
      </c>
      <c r="CN45" s="265" t="s">
        <v>289</v>
      </c>
      <c r="CO45" s="265">
        <v>2.5</v>
      </c>
      <c r="CP45" s="266" t="s">
        <v>290</v>
      </c>
      <c r="CQ45" s="255" t="s">
        <v>2609</v>
      </c>
      <c r="CR45" s="255" t="s">
        <v>1682</v>
      </c>
      <c r="CS45" s="255" t="s">
        <v>1683</v>
      </c>
      <c r="CT45" s="255" t="s">
        <v>1004</v>
      </c>
      <c r="CU45" s="255" t="s">
        <v>1712</v>
      </c>
      <c r="CV45" s="255" t="s">
        <v>324</v>
      </c>
      <c r="CW45" s="255" t="s">
        <v>779</v>
      </c>
      <c r="CX45" s="255" t="s">
        <v>780</v>
      </c>
      <c r="CY45" s="255" t="s">
        <v>781</v>
      </c>
      <c r="CZ45" s="255" t="s">
        <v>782</v>
      </c>
      <c r="DA45" s="255" t="s">
        <v>783</v>
      </c>
      <c r="DB45" s="255" t="s">
        <v>784</v>
      </c>
      <c r="DC45" s="255" t="s">
        <v>785</v>
      </c>
      <c r="DD45" s="255" t="s">
        <v>786</v>
      </c>
      <c r="DE45" s="255"/>
      <c r="DF45" s="255"/>
      <c r="DG45" s="255"/>
      <c r="DH45" s="255"/>
      <c r="DI45" s="255" t="s">
        <v>2281</v>
      </c>
      <c r="DJ45" s="255"/>
      <c r="DK45" s="255"/>
      <c r="DL45" s="255">
        <f t="shared" si="1"/>
        <v>8</v>
      </c>
    </row>
    <row r="46" spans="1:116" ht="25.5" x14ac:dyDescent="0.2">
      <c r="A46" s="111"/>
      <c r="B46" s="112" t="s">
        <v>1793</v>
      </c>
      <c r="C46" s="113">
        <v>401</v>
      </c>
      <c r="D46" s="131" t="s">
        <v>1794</v>
      </c>
      <c r="E46" s="124" t="s">
        <v>480</v>
      </c>
      <c r="F46" s="121" t="s">
        <v>1352</v>
      </c>
      <c r="G46" s="121" t="s">
        <v>2230</v>
      </c>
      <c r="H46" s="121" t="s">
        <v>2593</v>
      </c>
      <c r="I46" s="122" t="s">
        <v>2231</v>
      </c>
      <c r="J46" s="121" t="s">
        <v>2132</v>
      </c>
      <c r="K46" s="124" t="s">
        <v>1801</v>
      </c>
      <c r="L46" s="124"/>
      <c r="M46" s="113" t="s">
        <v>1979</v>
      </c>
      <c r="N46" s="113" t="s">
        <v>1973</v>
      </c>
      <c r="O46" s="113" t="s">
        <v>1979</v>
      </c>
      <c r="P46" s="113" t="s">
        <v>1980</v>
      </c>
      <c r="Q46" s="113" t="s">
        <v>1973</v>
      </c>
      <c r="R46" s="113" t="s">
        <v>1979</v>
      </c>
      <c r="S46" s="113" t="s">
        <v>1973</v>
      </c>
      <c r="T46" s="113" t="s">
        <v>1979</v>
      </c>
      <c r="U46" s="113"/>
      <c r="V46" s="113"/>
      <c r="W46" s="113"/>
      <c r="X46" s="113"/>
      <c r="Y46" s="113"/>
      <c r="Z46" s="113"/>
      <c r="AA46" s="113">
        <v>40</v>
      </c>
      <c r="AB46" s="113">
        <f>60+51</f>
        <v>111</v>
      </c>
      <c r="AC46" s="125">
        <f t="shared" si="5"/>
        <v>131</v>
      </c>
      <c r="AD46" s="116">
        <v>2</v>
      </c>
      <c r="AE46" s="116" t="s">
        <v>1984</v>
      </c>
      <c r="AF46" s="116" t="s">
        <v>1984</v>
      </c>
      <c r="AG46" s="116" t="s">
        <v>1984</v>
      </c>
      <c r="AH46" s="114">
        <v>0.15</v>
      </c>
      <c r="AI46" s="116" t="s">
        <v>298</v>
      </c>
      <c r="AJ46" s="116" t="s">
        <v>2031</v>
      </c>
      <c r="AK46" s="114" t="s">
        <v>1810</v>
      </c>
      <c r="AL46" s="114"/>
      <c r="AM46" s="114"/>
      <c r="AN46" s="114">
        <v>0.2</v>
      </c>
      <c r="AO46" s="114">
        <v>0</v>
      </c>
      <c r="AP46" s="114">
        <v>0.2</v>
      </c>
      <c r="AQ46" s="114">
        <v>0.2</v>
      </c>
      <c r="AR46" s="114">
        <v>0</v>
      </c>
      <c r="AS46" s="114">
        <v>0</v>
      </c>
      <c r="AT46" s="114" t="s">
        <v>952</v>
      </c>
      <c r="AU46" s="113" t="s">
        <v>2221</v>
      </c>
      <c r="AV46" s="125">
        <v>0</v>
      </c>
      <c r="AW46" s="116"/>
      <c r="AX46" s="116"/>
      <c r="AY46" s="116"/>
      <c r="AZ46" s="116"/>
      <c r="BA46" s="116"/>
      <c r="BB46" s="113" t="s">
        <v>2381</v>
      </c>
      <c r="BC46" s="128">
        <v>45737</v>
      </c>
      <c r="BD46" s="113" t="s">
        <v>189</v>
      </c>
      <c r="BE46" s="113" t="s">
        <v>187</v>
      </c>
      <c r="BF46" s="116">
        <v>2</v>
      </c>
      <c r="BG46" s="116"/>
      <c r="BH46" s="116"/>
      <c r="BI46" s="116"/>
      <c r="BJ46" s="116"/>
      <c r="BK46" s="116"/>
      <c r="BL46" s="116"/>
      <c r="BM46" s="116">
        <v>2</v>
      </c>
      <c r="BN46" s="116">
        <v>0</v>
      </c>
      <c r="BO46" s="117" t="s">
        <v>615</v>
      </c>
      <c r="BP46" s="117">
        <v>2</v>
      </c>
      <c r="BQ46" s="130" t="s">
        <v>2462</v>
      </c>
      <c r="BR46" s="144">
        <v>2</v>
      </c>
      <c r="BS46" s="113" t="s">
        <v>23</v>
      </c>
      <c r="BT46" s="116" t="s">
        <v>169</v>
      </c>
      <c r="BU46" s="113"/>
      <c r="BV46" s="113" t="s">
        <v>1870</v>
      </c>
      <c r="BW46" s="113" t="s">
        <v>2533</v>
      </c>
      <c r="BX46" s="116">
        <v>2</v>
      </c>
      <c r="BY46" s="113" t="s">
        <v>158</v>
      </c>
      <c r="BZ46" s="113" t="s">
        <v>2631</v>
      </c>
      <c r="CA46" s="113">
        <v>2</v>
      </c>
      <c r="CB46" s="113">
        <v>0</v>
      </c>
      <c r="CC46" s="113">
        <v>0</v>
      </c>
      <c r="CD46" s="113">
        <v>0</v>
      </c>
      <c r="CE46" s="118">
        <v>2</v>
      </c>
      <c r="CF46" s="118" t="s">
        <v>169</v>
      </c>
      <c r="CG46" s="117" t="s">
        <v>169</v>
      </c>
      <c r="CH46" s="117" t="s">
        <v>2643</v>
      </c>
      <c r="CI46" s="118">
        <v>2</v>
      </c>
      <c r="CJ46" s="118">
        <v>0</v>
      </c>
      <c r="CK46" s="119">
        <v>2025.0393999999999</v>
      </c>
      <c r="CL46" s="117" t="s">
        <v>23</v>
      </c>
      <c r="CM46" s="117">
        <v>2</v>
      </c>
      <c r="CN46" s="117" t="s">
        <v>289</v>
      </c>
      <c r="CO46" s="117">
        <v>2</v>
      </c>
      <c r="CP46" s="118" t="s">
        <v>290</v>
      </c>
      <c r="CQ46" s="112" t="s">
        <v>1795</v>
      </c>
      <c r="CR46" s="112"/>
      <c r="CS46" s="112" t="s">
        <v>2225</v>
      </c>
      <c r="CT46" s="112" t="s">
        <v>2342</v>
      </c>
      <c r="CU46" s="112" t="s">
        <v>1712</v>
      </c>
      <c r="CV46" s="112" t="s">
        <v>324</v>
      </c>
      <c r="CW46" s="112" t="s">
        <v>786</v>
      </c>
      <c r="CX46" s="112" t="s">
        <v>1796</v>
      </c>
      <c r="CY46" s="112" t="s">
        <v>783</v>
      </c>
      <c r="CZ46" s="112" t="s">
        <v>785</v>
      </c>
      <c r="DA46" s="112" t="s">
        <v>779</v>
      </c>
      <c r="DB46" s="112"/>
      <c r="DC46" s="112"/>
      <c r="DD46" s="112"/>
      <c r="DE46" s="112"/>
      <c r="DF46" s="112"/>
      <c r="DG46" s="112"/>
      <c r="DH46" s="112"/>
      <c r="DI46" s="112" t="s">
        <v>2281</v>
      </c>
      <c r="DJ46" s="112"/>
      <c r="DK46" s="112"/>
      <c r="DL46" s="112">
        <f t="shared" si="1"/>
        <v>5</v>
      </c>
    </row>
    <row r="47" spans="1:116" s="253" customFormat="1" ht="26.25" x14ac:dyDescent="0.25">
      <c r="A47" s="254"/>
      <c r="B47" s="255" t="s">
        <v>1786</v>
      </c>
      <c r="C47" s="256">
        <v>402</v>
      </c>
      <c r="D47" s="274" t="s">
        <v>1785</v>
      </c>
      <c r="E47" s="260" t="s">
        <v>1792</v>
      </c>
      <c r="F47" s="258" t="s">
        <v>2604</v>
      </c>
      <c r="G47" s="258" t="s">
        <v>2246</v>
      </c>
      <c r="H47" s="277" t="s">
        <v>2598</v>
      </c>
      <c r="I47" s="259" t="s">
        <v>2247</v>
      </c>
      <c r="J47" s="258" t="s">
        <v>2133</v>
      </c>
      <c r="K47" s="260" t="s">
        <v>1800</v>
      </c>
      <c r="L47" s="260"/>
      <c r="M47" s="256">
        <v>1</v>
      </c>
      <c r="N47" s="256">
        <v>1</v>
      </c>
      <c r="O47" s="256">
        <v>3</v>
      </c>
      <c r="P47" s="256">
        <v>1</v>
      </c>
      <c r="Q47" s="256">
        <v>10</v>
      </c>
      <c r="R47" s="256"/>
      <c r="S47" s="256"/>
      <c r="T47" s="256"/>
      <c r="U47" s="256"/>
      <c r="V47" s="256"/>
      <c r="W47" s="256"/>
      <c r="X47" s="256"/>
      <c r="Y47" s="256"/>
      <c r="Z47" s="256"/>
      <c r="AA47" s="256">
        <v>16</v>
      </c>
      <c r="AB47" s="256">
        <v>69</v>
      </c>
      <c r="AC47" s="261">
        <f t="shared" si="5"/>
        <v>77</v>
      </c>
      <c r="AD47" s="262">
        <v>1</v>
      </c>
      <c r="AE47" s="262" t="s">
        <v>1984</v>
      </c>
      <c r="AF47" s="262"/>
      <c r="AG47" s="262"/>
      <c r="AH47" s="263">
        <v>0.1</v>
      </c>
      <c r="AI47" s="262" t="s">
        <v>298</v>
      </c>
      <c r="AJ47" s="262" t="s">
        <v>2062</v>
      </c>
      <c r="AK47" s="263" t="s">
        <v>1811</v>
      </c>
      <c r="AL47" s="263"/>
      <c r="AM47" s="263"/>
      <c r="AN47" s="263">
        <v>0.1</v>
      </c>
      <c r="AO47" s="263">
        <v>0</v>
      </c>
      <c r="AP47" s="263">
        <v>0.1</v>
      </c>
      <c r="AQ47" s="263">
        <v>0.1</v>
      </c>
      <c r="AR47" s="263">
        <v>0</v>
      </c>
      <c r="AS47" s="263">
        <v>0</v>
      </c>
      <c r="AT47" s="263" t="s">
        <v>952</v>
      </c>
      <c r="AU47" s="256" t="s">
        <v>2221</v>
      </c>
      <c r="AV47" s="261">
        <v>0</v>
      </c>
      <c r="AW47" s="262"/>
      <c r="AX47" s="262"/>
      <c r="AY47" s="262"/>
      <c r="AZ47" s="262"/>
      <c r="BA47" s="262"/>
      <c r="BB47" s="256" t="s">
        <v>2382</v>
      </c>
      <c r="BC47" s="264">
        <v>45737</v>
      </c>
      <c r="BD47" s="256" t="s">
        <v>189</v>
      </c>
      <c r="BE47" s="256" t="s">
        <v>186</v>
      </c>
      <c r="BF47" s="262">
        <v>1</v>
      </c>
      <c r="BG47" s="262"/>
      <c r="BH47" s="262"/>
      <c r="BI47" s="262"/>
      <c r="BJ47" s="262"/>
      <c r="BK47" s="262"/>
      <c r="BL47" s="262"/>
      <c r="BM47" s="262">
        <v>1</v>
      </c>
      <c r="BN47" s="262">
        <v>0</v>
      </c>
      <c r="BO47" s="265" t="s">
        <v>612</v>
      </c>
      <c r="BP47" s="265">
        <v>1</v>
      </c>
      <c r="BQ47" s="271" t="s">
        <v>2463</v>
      </c>
      <c r="BR47" s="298">
        <v>1</v>
      </c>
      <c r="BS47" s="256" t="s">
        <v>23</v>
      </c>
      <c r="BT47" s="262" t="s">
        <v>169</v>
      </c>
      <c r="BU47" s="256"/>
      <c r="BV47" s="256" t="s">
        <v>1871</v>
      </c>
      <c r="BW47" s="256" t="s">
        <v>2534</v>
      </c>
      <c r="BX47" s="262">
        <v>1</v>
      </c>
      <c r="BY47" s="256" t="s">
        <v>158</v>
      </c>
      <c r="BZ47" s="256" t="s">
        <v>2632</v>
      </c>
      <c r="CA47" s="256">
        <v>1</v>
      </c>
      <c r="CB47" s="256">
        <v>0</v>
      </c>
      <c r="CC47" s="256">
        <v>0</v>
      </c>
      <c r="CD47" s="256">
        <v>0</v>
      </c>
      <c r="CE47" s="266">
        <v>1</v>
      </c>
      <c r="CF47" s="266" t="s">
        <v>169</v>
      </c>
      <c r="CG47" s="265" t="s">
        <v>169</v>
      </c>
      <c r="CH47" s="265" t="s">
        <v>2643</v>
      </c>
      <c r="CI47" s="266">
        <v>1</v>
      </c>
      <c r="CJ47" s="266">
        <v>0</v>
      </c>
      <c r="CK47" s="267">
        <v>2025.0395000000001</v>
      </c>
      <c r="CL47" s="265" t="s">
        <v>23</v>
      </c>
      <c r="CM47" s="265">
        <v>1</v>
      </c>
      <c r="CN47" s="265" t="s">
        <v>289</v>
      </c>
      <c r="CO47" s="265">
        <v>1</v>
      </c>
      <c r="CP47" s="266" t="s">
        <v>290</v>
      </c>
      <c r="CQ47" s="255" t="s">
        <v>1787</v>
      </c>
      <c r="CR47" s="255" t="s">
        <v>22</v>
      </c>
      <c r="CS47" s="255" t="s">
        <v>1925</v>
      </c>
      <c r="CT47" s="255" t="s">
        <v>2343</v>
      </c>
      <c r="CU47" s="255"/>
      <c r="CV47" s="255" t="s">
        <v>324</v>
      </c>
      <c r="CW47" s="255" t="s">
        <v>1788</v>
      </c>
      <c r="CX47" s="255" t="s">
        <v>1789</v>
      </c>
      <c r="CY47" s="255" t="s">
        <v>1790</v>
      </c>
      <c r="CZ47" s="255" t="s">
        <v>1791</v>
      </c>
      <c r="DA47" s="255"/>
      <c r="DB47" s="255"/>
      <c r="DC47" s="255"/>
      <c r="DD47" s="255"/>
      <c r="DE47" s="255"/>
      <c r="DF47" s="255"/>
      <c r="DG47" s="255"/>
      <c r="DH47" s="255"/>
      <c r="DI47" s="255" t="s">
        <v>2281</v>
      </c>
      <c r="DJ47" s="255"/>
      <c r="DK47" s="255"/>
      <c r="DL47" s="255">
        <f t="shared" si="1"/>
        <v>4</v>
      </c>
    </row>
    <row r="48" spans="1:116" ht="26.25" x14ac:dyDescent="0.25">
      <c r="A48" s="111"/>
      <c r="B48" s="112" t="s">
        <v>70</v>
      </c>
      <c r="C48" s="113">
        <v>403</v>
      </c>
      <c r="D48" s="131" t="s">
        <v>153</v>
      </c>
      <c r="E48" s="124" t="s">
        <v>480</v>
      </c>
      <c r="F48" s="121" t="s">
        <v>1352</v>
      </c>
      <c r="G48" s="121" t="s">
        <v>2230</v>
      </c>
      <c r="H48" s="123" t="s">
        <v>2593</v>
      </c>
      <c r="I48" s="122" t="s">
        <v>2231</v>
      </c>
      <c r="J48" s="121" t="s">
        <v>2134</v>
      </c>
      <c r="K48" s="124" t="s">
        <v>1192</v>
      </c>
      <c r="L48" s="124" t="s">
        <v>576</v>
      </c>
      <c r="M48" s="113">
        <v>5</v>
      </c>
      <c r="N48" s="113">
        <v>7</v>
      </c>
      <c r="O48" s="113">
        <v>4</v>
      </c>
      <c r="P48" s="113">
        <v>6</v>
      </c>
      <c r="Q48" s="113">
        <v>10</v>
      </c>
      <c r="R48" s="113"/>
      <c r="S48" s="113"/>
      <c r="T48" s="113"/>
      <c r="U48" s="113"/>
      <c r="V48" s="113"/>
      <c r="W48" s="113"/>
      <c r="X48" s="113"/>
      <c r="Y48" s="113"/>
      <c r="Z48" s="113"/>
      <c r="AA48" s="113">
        <v>32</v>
      </c>
      <c r="AB48" s="113">
        <v>116</v>
      </c>
      <c r="AC48" s="125">
        <f t="shared" si="5"/>
        <v>132</v>
      </c>
      <c r="AD48" s="116">
        <v>2</v>
      </c>
      <c r="AE48" s="116" t="s">
        <v>1987</v>
      </c>
      <c r="AF48" s="116"/>
      <c r="AG48" s="116"/>
      <c r="AH48" s="114">
        <v>0.2</v>
      </c>
      <c r="AI48" s="116" t="s">
        <v>298</v>
      </c>
      <c r="AJ48" s="116" t="s">
        <v>2032</v>
      </c>
      <c r="AK48" s="114" t="s">
        <v>1922</v>
      </c>
      <c r="AL48" s="114" t="s">
        <v>1268</v>
      </c>
      <c r="AM48" s="114" t="s">
        <v>702</v>
      </c>
      <c r="AN48" s="114">
        <v>0.2</v>
      </c>
      <c r="AO48" s="114">
        <v>0</v>
      </c>
      <c r="AP48" s="114">
        <v>0.2</v>
      </c>
      <c r="AQ48" s="114">
        <v>0.2</v>
      </c>
      <c r="AR48" s="114">
        <v>0</v>
      </c>
      <c r="AS48" s="114">
        <v>0</v>
      </c>
      <c r="AT48" s="114" t="s">
        <v>952</v>
      </c>
      <c r="AU48" s="113" t="s">
        <v>1411</v>
      </c>
      <c r="AV48" s="116">
        <v>2</v>
      </c>
      <c r="AW48" s="116"/>
      <c r="AX48" s="116"/>
      <c r="AY48" s="116"/>
      <c r="AZ48" s="116"/>
      <c r="BA48" s="116"/>
      <c r="BB48" s="113" t="s">
        <v>192</v>
      </c>
      <c r="BC48" s="113">
        <v>2016</v>
      </c>
      <c r="BD48" s="113" t="s">
        <v>191</v>
      </c>
      <c r="BE48" s="113" t="s">
        <v>187</v>
      </c>
      <c r="BF48" s="116">
        <v>1</v>
      </c>
      <c r="BG48" s="116"/>
      <c r="BH48" s="116"/>
      <c r="BI48" s="116"/>
      <c r="BJ48" s="116"/>
      <c r="BK48" s="116"/>
      <c r="BL48" s="116"/>
      <c r="BM48" s="116">
        <v>2</v>
      </c>
      <c r="BN48" s="116">
        <v>0</v>
      </c>
      <c r="BO48" s="117" t="s">
        <v>615</v>
      </c>
      <c r="BP48" s="117">
        <v>2</v>
      </c>
      <c r="BQ48" s="113" t="s">
        <v>2464</v>
      </c>
      <c r="BR48" s="116">
        <v>2</v>
      </c>
      <c r="BS48" s="113" t="s">
        <v>23</v>
      </c>
      <c r="BT48" s="116" t="s">
        <v>169</v>
      </c>
      <c r="BU48" s="113" t="s">
        <v>134</v>
      </c>
      <c r="BV48" s="113" t="s">
        <v>1872</v>
      </c>
      <c r="BW48" s="113" t="s">
        <v>2535</v>
      </c>
      <c r="BX48" s="116">
        <f>AN48*10</f>
        <v>2</v>
      </c>
      <c r="BY48" s="113" t="s">
        <v>158</v>
      </c>
      <c r="BZ48" s="113" t="s">
        <v>1344</v>
      </c>
      <c r="CA48" s="113">
        <v>2</v>
      </c>
      <c r="CB48" s="113">
        <v>0</v>
      </c>
      <c r="CC48" s="113">
        <v>0</v>
      </c>
      <c r="CD48" s="113">
        <v>0</v>
      </c>
      <c r="CE48" s="118">
        <v>2</v>
      </c>
      <c r="CF48" s="118">
        <v>0.2</v>
      </c>
      <c r="CG48" s="117" t="s">
        <v>1036</v>
      </c>
      <c r="CH48" s="117" t="s">
        <v>2643</v>
      </c>
      <c r="CI48" s="118">
        <v>2</v>
      </c>
      <c r="CJ48" s="118">
        <v>0</v>
      </c>
      <c r="CK48" s="119">
        <v>2025.0396000000001</v>
      </c>
      <c r="CL48" s="117" t="s">
        <v>23</v>
      </c>
      <c r="CM48" s="117">
        <v>2</v>
      </c>
      <c r="CN48" s="117" t="s">
        <v>289</v>
      </c>
      <c r="CO48" s="117">
        <v>2</v>
      </c>
      <c r="CP48" s="118" t="s">
        <v>290</v>
      </c>
      <c r="CQ48" s="112" t="s">
        <v>1005</v>
      </c>
      <c r="CR48" s="112" t="s">
        <v>1681</v>
      </c>
      <c r="CS48" s="112"/>
      <c r="CT48" s="112" t="s">
        <v>989</v>
      </c>
      <c r="CU48" s="112" t="s">
        <v>1712</v>
      </c>
      <c r="CV48" s="112" t="s">
        <v>324</v>
      </c>
      <c r="CW48" s="112" t="s">
        <v>779</v>
      </c>
      <c r="CX48" s="112" t="s">
        <v>778</v>
      </c>
      <c r="CY48" s="112" t="s">
        <v>775</v>
      </c>
      <c r="CZ48" s="112" t="s">
        <v>776</v>
      </c>
      <c r="DA48" s="112" t="s">
        <v>785</v>
      </c>
      <c r="DB48" s="112" t="s">
        <v>774</v>
      </c>
      <c r="DC48" s="112" t="s">
        <v>787</v>
      </c>
      <c r="DD48" s="112" t="s">
        <v>777</v>
      </c>
      <c r="DE48" s="112" t="s">
        <v>786</v>
      </c>
      <c r="DF48" s="112"/>
      <c r="DG48" s="112"/>
      <c r="DH48" s="112"/>
      <c r="DI48" s="112" t="s">
        <v>2281</v>
      </c>
      <c r="DJ48" s="112"/>
      <c r="DK48" s="112"/>
      <c r="DL48" s="112">
        <f t="shared" si="1"/>
        <v>9</v>
      </c>
    </row>
    <row r="49" spans="1:116" s="253" customFormat="1" ht="25.5" x14ac:dyDescent="0.2">
      <c r="A49" s="254"/>
      <c r="B49" s="255" t="s">
        <v>71</v>
      </c>
      <c r="C49" s="256">
        <v>404</v>
      </c>
      <c r="D49" s="274" t="s">
        <v>4</v>
      </c>
      <c r="E49" s="260" t="s">
        <v>480</v>
      </c>
      <c r="F49" s="258" t="s">
        <v>1352</v>
      </c>
      <c r="G49" s="258" t="s">
        <v>2230</v>
      </c>
      <c r="H49" s="258" t="s">
        <v>2593</v>
      </c>
      <c r="I49" s="259" t="s">
        <v>2231</v>
      </c>
      <c r="J49" s="258" t="s">
        <v>2135</v>
      </c>
      <c r="K49" s="260" t="s">
        <v>1193</v>
      </c>
      <c r="L49" s="260" t="s">
        <v>577</v>
      </c>
      <c r="M49" s="256">
        <v>1</v>
      </c>
      <c r="N49" s="256">
        <v>6</v>
      </c>
      <c r="O49" s="256">
        <v>4</v>
      </c>
      <c r="P49" s="256">
        <v>1</v>
      </c>
      <c r="Q49" s="256">
        <v>7</v>
      </c>
      <c r="R49" s="256">
        <v>3</v>
      </c>
      <c r="S49" s="256">
        <v>1</v>
      </c>
      <c r="T49" s="256">
        <v>1</v>
      </c>
      <c r="U49" s="256">
        <v>10</v>
      </c>
      <c r="V49" s="256">
        <v>1</v>
      </c>
      <c r="W49" s="256"/>
      <c r="X49" s="256"/>
      <c r="Y49" s="256"/>
      <c r="Z49" s="256"/>
      <c r="AA49" s="256">
        <v>35</v>
      </c>
      <c r="AB49" s="256">
        <v>141</v>
      </c>
      <c r="AC49" s="261">
        <f t="shared" si="5"/>
        <v>158.5</v>
      </c>
      <c r="AD49" s="262">
        <v>3</v>
      </c>
      <c r="AE49" s="262" t="s">
        <v>1984</v>
      </c>
      <c r="AF49" s="262"/>
      <c r="AG49" s="262"/>
      <c r="AH49" s="263">
        <v>0.3</v>
      </c>
      <c r="AI49" s="262" t="s">
        <v>298</v>
      </c>
      <c r="AJ49" s="262" t="s">
        <v>2034</v>
      </c>
      <c r="AK49" s="263" t="s">
        <v>1738</v>
      </c>
      <c r="AL49" s="263" t="s">
        <v>1269</v>
      </c>
      <c r="AM49" s="263" t="s">
        <v>750</v>
      </c>
      <c r="AN49" s="263">
        <v>0.3</v>
      </c>
      <c r="AO49" s="263">
        <v>0</v>
      </c>
      <c r="AP49" s="263">
        <v>0.3</v>
      </c>
      <c r="AQ49" s="263">
        <v>0.3</v>
      </c>
      <c r="AR49" s="263">
        <v>0</v>
      </c>
      <c r="AS49" s="263">
        <v>0</v>
      </c>
      <c r="AT49" s="263" t="s">
        <v>952</v>
      </c>
      <c r="AU49" s="256" t="s">
        <v>1412</v>
      </c>
      <c r="AV49" s="262">
        <v>3</v>
      </c>
      <c r="AW49" s="262"/>
      <c r="AX49" s="262"/>
      <c r="AY49" s="262"/>
      <c r="AZ49" s="262"/>
      <c r="BA49" s="262"/>
      <c r="BB49" s="256" t="s">
        <v>2383</v>
      </c>
      <c r="BC49" s="264">
        <v>45737</v>
      </c>
      <c r="BD49" s="256" t="s">
        <v>193</v>
      </c>
      <c r="BE49" s="256" t="s">
        <v>187</v>
      </c>
      <c r="BF49" s="262">
        <v>3</v>
      </c>
      <c r="BG49" s="262"/>
      <c r="BH49" s="262"/>
      <c r="BI49" s="262"/>
      <c r="BJ49" s="262"/>
      <c r="BK49" s="262"/>
      <c r="BL49" s="262"/>
      <c r="BM49" s="262">
        <v>3</v>
      </c>
      <c r="BN49" s="262">
        <v>0</v>
      </c>
      <c r="BO49" s="265" t="s">
        <v>617</v>
      </c>
      <c r="BP49" s="265">
        <v>3</v>
      </c>
      <c r="BQ49" s="256" t="s">
        <v>2465</v>
      </c>
      <c r="BR49" s="262">
        <v>3</v>
      </c>
      <c r="BS49" s="256" t="s">
        <v>23</v>
      </c>
      <c r="BT49" s="262" t="s">
        <v>169</v>
      </c>
      <c r="BU49" s="256" t="s">
        <v>161</v>
      </c>
      <c r="BV49" s="256" t="s">
        <v>1873</v>
      </c>
      <c r="BW49" s="256" t="s">
        <v>2536</v>
      </c>
      <c r="BX49" s="262">
        <f>AN49*10</f>
        <v>3</v>
      </c>
      <c r="BY49" s="256" t="s">
        <v>158</v>
      </c>
      <c r="BZ49" s="256" t="s">
        <v>1345</v>
      </c>
      <c r="CA49" s="256">
        <v>3</v>
      </c>
      <c r="CB49" s="256">
        <v>0</v>
      </c>
      <c r="CC49" s="256">
        <v>0</v>
      </c>
      <c r="CD49" s="256">
        <v>0</v>
      </c>
      <c r="CE49" s="266">
        <v>3</v>
      </c>
      <c r="CF49" s="266">
        <v>0.3</v>
      </c>
      <c r="CG49" s="265" t="s">
        <v>1037</v>
      </c>
      <c r="CH49" s="265" t="s">
        <v>2643</v>
      </c>
      <c r="CI49" s="266">
        <v>3</v>
      </c>
      <c r="CJ49" s="266">
        <v>0</v>
      </c>
      <c r="CK49" s="267">
        <v>2025.0397</v>
      </c>
      <c r="CL49" s="265" t="s">
        <v>23</v>
      </c>
      <c r="CM49" s="265">
        <v>3</v>
      </c>
      <c r="CN49" s="265" t="s">
        <v>289</v>
      </c>
      <c r="CO49" s="265">
        <v>3</v>
      </c>
      <c r="CP49" s="266" t="s">
        <v>290</v>
      </c>
      <c r="CQ49" s="255" t="s">
        <v>42</v>
      </c>
      <c r="CR49" s="255" t="s">
        <v>1679</v>
      </c>
      <c r="CS49" s="255" t="s">
        <v>1680</v>
      </c>
      <c r="CT49" s="255" t="s">
        <v>990</v>
      </c>
      <c r="CU49" s="255" t="s">
        <v>1712</v>
      </c>
      <c r="CV49" s="255" t="s">
        <v>324</v>
      </c>
      <c r="CW49" s="255" t="s">
        <v>788</v>
      </c>
      <c r="CX49" s="255" t="s">
        <v>789</v>
      </c>
      <c r="CY49" s="255" t="s">
        <v>790</v>
      </c>
      <c r="CZ49" s="255" t="s">
        <v>791</v>
      </c>
      <c r="DA49" s="255" t="s">
        <v>792</v>
      </c>
      <c r="DB49" s="255" t="s">
        <v>793</v>
      </c>
      <c r="DC49" s="255" t="s">
        <v>794</v>
      </c>
      <c r="DD49" s="255" t="s">
        <v>795</v>
      </c>
      <c r="DE49" s="255" t="s">
        <v>796</v>
      </c>
      <c r="DF49" s="255"/>
      <c r="DG49" s="255"/>
      <c r="DH49" s="255"/>
      <c r="DI49" s="255" t="s">
        <v>2284</v>
      </c>
      <c r="DJ49" s="255"/>
      <c r="DK49" s="255"/>
      <c r="DL49" s="255">
        <f t="shared" si="1"/>
        <v>9</v>
      </c>
    </row>
    <row r="50" spans="1:116" ht="25.5" x14ac:dyDescent="0.2">
      <c r="A50" s="111"/>
      <c r="B50" s="112" t="s">
        <v>72</v>
      </c>
      <c r="C50" s="113">
        <v>405</v>
      </c>
      <c r="D50" s="131" t="s">
        <v>41</v>
      </c>
      <c r="E50" s="124" t="s">
        <v>480</v>
      </c>
      <c r="F50" s="121" t="s">
        <v>1352</v>
      </c>
      <c r="G50" s="121" t="s">
        <v>2230</v>
      </c>
      <c r="H50" s="121" t="s">
        <v>2593</v>
      </c>
      <c r="I50" s="122" t="s">
        <v>2231</v>
      </c>
      <c r="J50" s="121" t="s">
        <v>2136</v>
      </c>
      <c r="K50" s="124" t="s">
        <v>1194</v>
      </c>
      <c r="L50" s="124" t="s">
        <v>578</v>
      </c>
      <c r="M50" s="113">
        <v>1</v>
      </c>
      <c r="N50" s="113">
        <v>1</v>
      </c>
      <c r="O50" s="113">
        <v>5</v>
      </c>
      <c r="P50" s="113">
        <v>4</v>
      </c>
      <c r="Q50" s="113">
        <v>1</v>
      </c>
      <c r="R50" s="113">
        <v>8</v>
      </c>
      <c r="S50" s="113">
        <v>4</v>
      </c>
      <c r="T50" s="113">
        <v>4</v>
      </c>
      <c r="U50" s="113"/>
      <c r="V50" s="113"/>
      <c r="W50" s="113"/>
      <c r="X50" s="113"/>
      <c r="Y50" s="113"/>
      <c r="Z50" s="113"/>
      <c r="AA50" s="113">
        <v>28</v>
      </c>
      <c r="AB50" s="113">
        <v>107</v>
      </c>
      <c r="AC50" s="125">
        <f t="shared" si="5"/>
        <v>121</v>
      </c>
      <c r="AD50" s="116">
        <v>2</v>
      </c>
      <c r="AE50" s="116"/>
      <c r="AF50" s="116"/>
      <c r="AG50" s="116"/>
      <c r="AH50" s="114">
        <v>0.2</v>
      </c>
      <c r="AI50" s="116" t="s">
        <v>298</v>
      </c>
      <c r="AJ50" s="116" t="s">
        <v>2035</v>
      </c>
      <c r="AK50" s="114" t="s">
        <v>1752</v>
      </c>
      <c r="AL50" s="114" t="s">
        <v>1270</v>
      </c>
      <c r="AM50" s="114" t="s">
        <v>701</v>
      </c>
      <c r="AN50" s="114">
        <v>0.2</v>
      </c>
      <c r="AO50" s="114">
        <v>0</v>
      </c>
      <c r="AP50" s="114">
        <v>0.2</v>
      </c>
      <c r="AQ50" s="114">
        <v>0.2</v>
      </c>
      <c r="AR50" s="114">
        <v>0</v>
      </c>
      <c r="AS50" s="114">
        <v>0</v>
      </c>
      <c r="AT50" s="114" t="s">
        <v>952</v>
      </c>
      <c r="AU50" s="113" t="s">
        <v>1446</v>
      </c>
      <c r="AV50" s="116">
        <v>2.5</v>
      </c>
      <c r="AW50" s="116"/>
      <c r="AX50" s="116"/>
      <c r="AY50" s="116"/>
      <c r="AZ50" s="116"/>
      <c r="BA50" s="116"/>
      <c r="BB50" s="113" t="s">
        <v>2384</v>
      </c>
      <c r="BC50" s="128">
        <v>45737</v>
      </c>
      <c r="BD50" s="113" t="s">
        <v>183</v>
      </c>
      <c r="BE50" s="113" t="s">
        <v>187</v>
      </c>
      <c r="BF50" s="116">
        <v>2</v>
      </c>
      <c r="BG50" s="116"/>
      <c r="BH50" s="116"/>
      <c r="BI50" s="116"/>
      <c r="BJ50" s="116"/>
      <c r="BK50" s="116"/>
      <c r="BL50" s="116"/>
      <c r="BM50" s="116">
        <v>2</v>
      </c>
      <c r="BN50" s="116">
        <v>0</v>
      </c>
      <c r="BO50" s="117" t="s">
        <v>616</v>
      </c>
      <c r="BP50" s="117">
        <v>2.5</v>
      </c>
      <c r="BQ50" s="130" t="s">
        <v>2466</v>
      </c>
      <c r="BR50" s="116">
        <v>2</v>
      </c>
      <c r="BS50" s="113" t="s">
        <v>23</v>
      </c>
      <c r="BT50" s="116" t="s">
        <v>169</v>
      </c>
      <c r="BU50" s="113" t="s">
        <v>109</v>
      </c>
      <c r="BV50" s="113" t="s">
        <v>1874</v>
      </c>
      <c r="BW50" s="113" t="s">
        <v>2537</v>
      </c>
      <c r="BX50" s="116">
        <f>AN50*10</f>
        <v>2</v>
      </c>
      <c r="BY50" s="113" t="s">
        <v>158</v>
      </c>
      <c r="BZ50" s="113" t="s">
        <v>1346</v>
      </c>
      <c r="CA50" s="113">
        <v>2.5</v>
      </c>
      <c r="CB50" s="113">
        <v>0</v>
      </c>
      <c r="CC50" s="113">
        <v>0</v>
      </c>
      <c r="CD50" s="113">
        <v>0</v>
      </c>
      <c r="CE50" s="118">
        <v>2</v>
      </c>
      <c r="CF50" s="118">
        <v>0.2</v>
      </c>
      <c r="CG50" s="117" t="s">
        <v>1038</v>
      </c>
      <c r="CH50" s="117" t="s">
        <v>2643</v>
      </c>
      <c r="CI50" s="118">
        <v>2</v>
      </c>
      <c r="CJ50" s="118">
        <v>0</v>
      </c>
      <c r="CK50" s="119">
        <v>2025.0398</v>
      </c>
      <c r="CL50" s="117" t="s">
        <v>23</v>
      </c>
      <c r="CM50" s="117">
        <v>2</v>
      </c>
      <c r="CN50" s="117" t="s">
        <v>289</v>
      </c>
      <c r="CO50" s="117">
        <v>2</v>
      </c>
      <c r="CP50" s="118" t="s">
        <v>290</v>
      </c>
      <c r="CQ50" s="112" t="s">
        <v>1006</v>
      </c>
      <c r="CR50" s="112" t="s">
        <v>1677</v>
      </c>
      <c r="CS50" s="112" t="s">
        <v>1678</v>
      </c>
      <c r="CT50" s="112" t="s">
        <v>990</v>
      </c>
      <c r="CU50" s="112" t="s">
        <v>1712</v>
      </c>
      <c r="CV50" s="112" t="s">
        <v>324</v>
      </c>
      <c r="CW50" s="112" t="s">
        <v>797</v>
      </c>
      <c r="CX50" s="112" t="s">
        <v>798</v>
      </c>
      <c r="CY50" s="112" t="s">
        <v>799</v>
      </c>
      <c r="CZ50" s="112" t="s">
        <v>800</v>
      </c>
      <c r="DA50" s="112" t="s">
        <v>801</v>
      </c>
      <c r="DB50" s="112" t="s">
        <v>802</v>
      </c>
      <c r="DC50" s="112" t="s">
        <v>803</v>
      </c>
      <c r="DD50" s="112" t="s">
        <v>804</v>
      </c>
      <c r="DE50" s="112"/>
      <c r="DF50" s="112"/>
      <c r="DG50" s="112"/>
      <c r="DH50" s="112"/>
      <c r="DI50" s="112" t="s">
        <v>2284</v>
      </c>
      <c r="DJ50" s="112"/>
      <c r="DK50" s="112"/>
      <c r="DL50" s="112">
        <f t="shared" si="1"/>
        <v>8</v>
      </c>
    </row>
    <row r="51" spans="1:116" s="253" customFormat="1" ht="25.5" x14ac:dyDescent="0.2">
      <c r="A51" s="254"/>
      <c r="B51" s="255" t="s">
        <v>73</v>
      </c>
      <c r="C51" s="256">
        <v>406</v>
      </c>
      <c r="D51" s="274" t="s">
        <v>1954</v>
      </c>
      <c r="E51" s="260" t="s">
        <v>480</v>
      </c>
      <c r="F51" s="258" t="s">
        <v>1352</v>
      </c>
      <c r="G51" s="258" t="s">
        <v>2230</v>
      </c>
      <c r="H51" s="258" t="s">
        <v>2593</v>
      </c>
      <c r="I51" s="259" t="s">
        <v>2231</v>
      </c>
      <c r="J51" s="258" t="s">
        <v>2137</v>
      </c>
      <c r="K51" s="260" t="s">
        <v>1181</v>
      </c>
      <c r="L51" s="260" t="s">
        <v>745</v>
      </c>
      <c r="M51" s="256">
        <v>5</v>
      </c>
      <c r="N51" s="256">
        <v>1</v>
      </c>
      <c r="O51" s="256">
        <v>4</v>
      </c>
      <c r="P51" s="256">
        <v>5</v>
      </c>
      <c r="Q51" s="256">
        <v>1</v>
      </c>
      <c r="R51" s="256">
        <v>5</v>
      </c>
      <c r="S51" s="256">
        <v>5</v>
      </c>
      <c r="T51" s="256">
        <v>2</v>
      </c>
      <c r="U51" s="256">
        <v>5</v>
      </c>
      <c r="V51" s="256"/>
      <c r="W51" s="256"/>
      <c r="X51" s="256"/>
      <c r="Y51" s="256"/>
      <c r="Z51" s="256"/>
      <c r="AA51" s="256">
        <v>33</v>
      </c>
      <c r="AB51" s="256">
        <v>137</v>
      </c>
      <c r="AC51" s="261">
        <f t="shared" si="5"/>
        <v>153.5</v>
      </c>
      <c r="AD51" s="262">
        <v>2.5</v>
      </c>
      <c r="AE51" s="262"/>
      <c r="AF51" s="262"/>
      <c r="AG51" s="262"/>
      <c r="AH51" s="263">
        <v>0.25</v>
      </c>
      <c r="AI51" s="262" t="s">
        <v>298</v>
      </c>
      <c r="AJ51" s="262" t="s">
        <v>2033</v>
      </c>
      <c r="AK51" s="263" t="s">
        <v>1747</v>
      </c>
      <c r="AL51" s="263" t="s">
        <v>1087</v>
      </c>
      <c r="AM51" s="263" t="s">
        <v>917</v>
      </c>
      <c r="AN51" s="263">
        <v>0.25</v>
      </c>
      <c r="AO51" s="263">
        <v>0</v>
      </c>
      <c r="AP51" s="263">
        <v>0.25</v>
      </c>
      <c r="AQ51" s="263">
        <v>0.25</v>
      </c>
      <c r="AR51" s="263">
        <v>0</v>
      </c>
      <c r="AS51" s="263">
        <v>0</v>
      </c>
      <c r="AT51" s="263" t="s">
        <v>952</v>
      </c>
      <c r="AU51" s="256" t="s">
        <v>1447</v>
      </c>
      <c r="AV51" s="262">
        <v>2.5</v>
      </c>
      <c r="AW51" s="262"/>
      <c r="AX51" s="262"/>
      <c r="AY51" s="262"/>
      <c r="AZ51" s="262"/>
      <c r="BA51" s="262"/>
      <c r="BB51" s="269" t="s">
        <v>2385</v>
      </c>
      <c r="BC51" s="270">
        <v>45737</v>
      </c>
      <c r="BD51" s="256" t="s">
        <v>955</v>
      </c>
      <c r="BE51" s="256" t="s">
        <v>187</v>
      </c>
      <c r="BF51" s="262">
        <v>2.5</v>
      </c>
      <c r="BG51" s="262"/>
      <c r="BH51" s="262"/>
      <c r="BI51" s="262"/>
      <c r="BJ51" s="262"/>
      <c r="BK51" s="262"/>
      <c r="BL51" s="262"/>
      <c r="BM51" s="262">
        <v>2.5</v>
      </c>
      <c r="BN51" s="262">
        <v>0</v>
      </c>
      <c r="BO51" s="265" t="s">
        <v>616</v>
      </c>
      <c r="BP51" s="265">
        <v>2.5</v>
      </c>
      <c r="BQ51" s="271" t="s">
        <v>2467</v>
      </c>
      <c r="BR51" s="262">
        <v>2.5</v>
      </c>
      <c r="BS51" s="256" t="s">
        <v>23</v>
      </c>
      <c r="BT51" s="262" t="s">
        <v>169</v>
      </c>
      <c r="BU51" s="256"/>
      <c r="BV51" s="256" t="s">
        <v>1875</v>
      </c>
      <c r="BW51" s="256" t="s">
        <v>2538</v>
      </c>
      <c r="BX51" s="262">
        <f>AN51*10</f>
        <v>2.5</v>
      </c>
      <c r="BY51" s="256" t="s">
        <v>158</v>
      </c>
      <c r="BZ51" s="256" t="s">
        <v>1347</v>
      </c>
      <c r="CA51" s="256">
        <v>2.5</v>
      </c>
      <c r="CB51" s="256">
        <v>0</v>
      </c>
      <c r="CC51" s="256">
        <v>0</v>
      </c>
      <c r="CD51" s="256">
        <v>0</v>
      </c>
      <c r="CE51" s="266">
        <v>2.5</v>
      </c>
      <c r="CF51" s="266">
        <v>0.2</v>
      </c>
      <c r="CG51" s="265" t="s">
        <v>1012</v>
      </c>
      <c r="CH51" s="265" t="s">
        <v>2643</v>
      </c>
      <c r="CI51" s="266">
        <v>2.5</v>
      </c>
      <c r="CJ51" s="266">
        <v>0</v>
      </c>
      <c r="CK51" s="267">
        <v>2025.0399</v>
      </c>
      <c r="CL51" s="265" t="s">
        <v>23</v>
      </c>
      <c r="CM51" s="265">
        <v>2.5</v>
      </c>
      <c r="CN51" s="265" t="s">
        <v>289</v>
      </c>
      <c r="CO51" s="265">
        <v>2.5</v>
      </c>
      <c r="CP51" s="266" t="s">
        <v>290</v>
      </c>
      <c r="CQ51" s="255" t="s">
        <v>910</v>
      </c>
      <c r="CR51" s="255" t="s">
        <v>1675</v>
      </c>
      <c r="CS51" s="255" t="s">
        <v>1676</v>
      </c>
      <c r="CT51" s="255" t="s">
        <v>990</v>
      </c>
      <c r="CU51" s="255" t="s">
        <v>1713</v>
      </c>
      <c r="CV51" s="255" t="s">
        <v>324</v>
      </c>
      <c r="CW51" s="255" t="s">
        <v>911</v>
      </c>
      <c r="CX51" s="255" t="s">
        <v>912</v>
      </c>
      <c r="CY51" s="255" t="s">
        <v>913</v>
      </c>
      <c r="CZ51" s="255" t="s">
        <v>914</v>
      </c>
      <c r="DA51" s="255" t="s">
        <v>915</v>
      </c>
      <c r="DB51" s="255" t="s">
        <v>916</v>
      </c>
      <c r="DC51" s="255"/>
      <c r="DD51" s="255"/>
      <c r="DE51" s="255"/>
      <c r="DF51" s="255"/>
      <c r="DG51" s="255"/>
      <c r="DH51" s="255"/>
      <c r="DI51" s="255" t="s">
        <v>2285</v>
      </c>
      <c r="DJ51" s="255"/>
      <c r="DK51" s="255"/>
      <c r="DL51" s="255">
        <f t="shared" si="1"/>
        <v>6</v>
      </c>
    </row>
    <row r="52" spans="1:116" ht="26.25" x14ac:dyDescent="0.25">
      <c r="A52" s="111"/>
      <c r="B52" s="112" t="s">
        <v>939</v>
      </c>
      <c r="C52" s="113">
        <v>407</v>
      </c>
      <c r="D52" s="131" t="s">
        <v>938</v>
      </c>
      <c r="E52" s="124" t="s">
        <v>945</v>
      </c>
      <c r="F52" s="124" t="s">
        <v>1355</v>
      </c>
      <c r="G52" s="124" t="s">
        <v>2248</v>
      </c>
      <c r="H52" s="123" t="s">
        <v>2599</v>
      </c>
      <c r="I52" s="113" t="s">
        <v>2249</v>
      </c>
      <c r="J52" s="124" t="s">
        <v>2138</v>
      </c>
      <c r="K52" s="124" t="s">
        <v>1182</v>
      </c>
      <c r="L52" s="124" t="s">
        <v>947</v>
      </c>
      <c r="M52" s="113">
        <v>4</v>
      </c>
      <c r="N52" s="113">
        <v>4</v>
      </c>
      <c r="O52" s="113">
        <v>5</v>
      </c>
      <c r="P52" s="113">
        <v>4</v>
      </c>
      <c r="Q52" s="113"/>
      <c r="R52" s="113"/>
      <c r="S52" s="113"/>
      <c r="T52" s="113"/>
      <c r="U52" s="113"/>
      <c r="V52" s="113"/>
      <c r="W52" s="113"/>
      <c r="X52" s="113"/>
      <c r="Y52" s="113"/>
      <c r="Z52" s="113"/>
      <c r="AA52" s="113">
        <v>17</v>
      </c>
      <c r="AB52" s="113">
        <v>48</v>
      </c>
      <c r="AC52" s="125">
        <f t="shared" si="5"/>
        <v>56.5</v>
      </c>
      <c r="AD52" s="116">
        <v>1</v>
      </c>
      <c r="AE52" s="116"/>
      <c r="AF52" s="116"/>
      <c r="AG52" s="116"/>
      <c r="AH52" s="114">
        <v>0.1</v>
      </c>
      <c r="AI52" s="116" t="s">
        <v>298</v>
      </c>
      <c r="AJ52" s="116" t="s">
        <v>2036</v>
      </c>
      <c r="AK52" s="114" t="s">
        <v>1746</v>
      </c>
      <c r="AL52" s="114" t="s">
        <v>1088</v>
      </c>
      <c r="AM52" s="114" t="s">
        <v>941</v>
      </c>
      <c r="AN52" s="114">
        <v>0.1</v>
      </c>
      <c r="AO52" s="114">
        <v>0</v>
      </c>
      <c r="AP52" s="114">
        <v>0.1</v>
      </c>
      <c r="AQ52" s="114">
        <v>0.1</v>
      </c>
      <c r="AR52" s="114">
        <v>0</v>
      </c>
      <c r="AS52" s="114">
        <v>0</v>
      </c>
      <c r="AT52" s="114" t="s">
        <v>952</v>
      </c>
      <c r="AU52" s="113" t="s">
        <v>1448</v>
      </c>
      <c r="AV52" s="116">
        <v>1</v>
      </c>
      <c r="AW52" s="116"/>
      <c r="AX52" s="116"/>
      <c r="AY52" s="116"/>
      <c r="AZ52" s="116"/>
      <c r="BA52" s="116"/>
      <c r="BB52" s="126" t="s">
        <v>2386</v>
      </c>
      <c r="BC52" s="127">
        <v>45737</v>
      </c>
      <c r="BD52" s="113" t="s">
        <v>2351</v>
      </c>
      <c r="BE52" s="113" t="s">
        <v>186</v>
      </c>
      <c r="BF52" s="116">
        <v>1</v>
      </c>
      <c r="BG52" s="116"/>
      <c r="BH52" s="116"/>
      <c r="BI52" s="116"/>
      <c r="BJ52" s="116"/>
      <c r="BK52" s="116"/>
      <c r="BL52" s="116"/>
      <c r="BM52" s="116">
        <v>1</v>
      </c>
      <c r="BN52" s="116">
        <v>0</v>
      </c>
      <c r="BO52" s="117" t="s">
        <v>612</v>
      </c>
      <c r="BP52" s="117">
        <v>1</v>
      </c>
      <c r="BQ52" s="113" t="s">
        <v>2468</v>
      </c>
      <c r="BR52" s="116">
        <v>1</v>
      </c>
      <c r="BS52" s="113" t="s">
        <v>23</v>
      </c>
      <c r="BT52" s="116" t="s">
        <v>169</v>
      </c>
      <c r="BU52" s="113" t="s">
        <v>110</v>
      </c>
      <c r="BV52" s="113" t="s">
        <v>1876</v>
      </c>
      <c r="BW52" s="113" t="s">
        <v>2539</v>
      </c>
      <c r="BX52" s="116">
        <v>1</v>
      </c>
      <c r="BY52" s="113" t="s">
        <v>158</v>
      </c>
      <c r="BZ52" s="113" t="s">
        <v>1348</v>
      </c>
      <c r="CA52" s="113">
        <v>1</v>
      </c>
      <c r="CB52" s="113">
        <v>0</v>
      </c>
      <c r="CC52" s="113">
        <v>0</v>
      </c>
      <c r="CD52" s="113">
        <v>0</v>
      </c>
      <c r="CE52" s="118">
        <v>1</v>
      </c>
      <c r="CF52" s="118">
        <v>0.1</v>
      </c>
      <c r="CG52" s="117" t="s">
        <v>1010</v>
      </c>
      <c r="CH52" s="117" t="s">
        <v>2643</v>
      </c>
      <c r="CI52" s="118">
        <v>1</v>
      </c>
      <c r="CJ52" s="118">
        <v>0</v>
      </c>
      <c r="CK52" s="119">
        <v>2025.04</v>
      </c>
      <c r="CL52" s="117" t="s">
        <v>23</v>
      </c>
      <c r="CM52" s="117">
        <v>1</v>
      </c>
      <c r="CN52" s="117" t="s">
        <v>289</v>
      </c>
      <c r="CO52" s="117">
        <v>1</v>
      </c>
      <c r="CP52" s="118" t="s">
        <v>290</v>
      </c>
      <c r="CQ52" s="112" t="s">
        <v>956</v>
      </c>
      <c r="CR52" s="112" t="s">
        <v>1673</v>
      </c>
      <c r="CS52" s="112" t="s">
        <v>1674</v>
      </c>
      <c r="CT52" s="112" t="s">
        <v>990</v>
      </c>
      <c r="CU52" s="112" t="s">
        <v>1712</v>
      </c>
      <c r="CV52" s="112" t="s">
        <v>324</v>
      </c>
      <c r="CW52" s="112" t="s">
        <v>957</v>
      </c>
      <c r="CX52" s="112" t="s">
        <v>958</v>
      </c>
      <c r="CY52" s="112" t="s">
        <v>959</v>
      </c>
      <c r="CZ52" s="112" t="s">
        <v>1515</v>
      </c>
      <c r="DA52" s="112"/>
      <c r="DB52" s="112"/>
      <c r="DC52" s="112"/>
      <c r="DD52" s="112"/>
      <c r="DE52" s="112"/>
      <c r="DF52" s="112"/>
      <c r="DG52" s="112"/>
      <c r="DH52" s="112"/>
      <c r="DI52" s="112" t="s">
        <v>2281</v>
      </c>
      <c r="DJ52" s="112"/>
      <c r="DK52" s="112"/>
      <c r="DL52" s="112">
        <f t="shared" si="1"/>
        <v>4</v>
      </c>
    </row>
    <row r="53" spans="1:116" s="253" customFormat="1" ht="26.25" customHeight="1" x14ac:dyDescent="0.2">
      <c r="A53" s="254"/>
      <c r="B53" s="255" t="s">
        <v>940</v>
      </c>
      <c r="C53" s="256">
        <v>408</v>
      </c>
      <c r="D53" s="274" t="s">
        <v>942</v>
      </c>
      <c r="E53" s="260" t="s">
        <v>945</v>
      </c>
      <c r="F53" s="260" t="s">
        <v>1355</v>
      </c>
      <c r="G53" s="260" t="s">
        <v>2248</v>
      </c>
      <c r="H53" s="260" t="s">
        <v>2599</v>
      </c>
      <c r="I53" s="256" t="s">
        <v>2249</v>
      </c>
      <c r="J53" s="260" t="s">
        <v>2139</v>
      </c>
      <c r="K53" s="260" t="s">
        <v>1183</v>
      </c>
      <c r="L53" s="260" t="s">
        <v>946</v>
      </c>
      <c r="M53" s="256">
        <v>1</v>
      </c>
      <c r="N53" s="256">
        <v>7</v>
      </c>
      <c r="O53" s="256">
        <v>6</v>
      </c>
      <c r="P53" s="256">
        <v>5</v>
      </c>
      <c r="Q53" s="256">
        <v>4</v>
      </c>
      <c r="R53" s="256"/>
      <c r="S53" s="256"/>
      <c r="T53" s="256"/>
      <c r="U53" s="256"/>
      <c r="V53" s="256"/>
      <c r="W53" s="256"/>
      <c r="X53" s="256"/>
      <c r="Y53" s="256"/>
      <c r="Z53" s="256"/>
      <c r="AA53" s="256">
        <v>23</v>
      </c>
      <c r="AB53" s="256">
        <v>52</v>
      </c>
      <c r="AC53" s="261">
        <f t="shared" si="5"/>
        <v>63.5</v>
      </c>
      <c r="AD53" s="262">
        <v>1</v>
      </c>
      <c r="AE53" s="262"/>
      <c r="AF53" s="262"/>
      <c r="AG53" s="262"/>
      <c r="AH53" s="263">
        <v>0.1</v>
      </c>
      <c r="AI53" s="262" t="s">
        <v>298</v>
      </c>
      <c r="AJ53" s="262" t="s">
        <v>2076</v>
      </c>
      <c r="AK53" s="263" t="s">
        <v>1742</v>
      </c>
      <c r="AL53" s="263" t="s">
        <v>1089</v>
      </c>
      <c r="AM53" s="263" t="s">
        <v>943</v>
      </c>
      <c r="AN53" s="263">
        <v>0.1</v>
      </c>
      <c r="AO53" s="263">
        <v>0</v>
      </c>
      <c r="AP53" s="263">
        <v>0.1</v>
      </c>
      <c r="AQ53" s="263">
        <v>0.1</v>
      </c>
      <c r="AR53" s="263">
        <v>0</v>
      </c>
      <c r="AS53" s="263">
        <v>0</v>
      </c>
      <c r="AT53" s="263" t="s">
        <v>952</v>
      </c>
      <c r="AU53" s="256" t="s">
        <v>1449</v>
      </c>
      <c r="AV53" s="262">
        <v>1</v>
      </c>
      <c r="AW53" s="262"/>
      <c r="AX53" s="262"/>
      <c r="AY53" s="262"/>
      <c r="AZ53" s="262"/>
      <c r="BA53" s="262"/>
      <c r="BB53" s="269" t="s">
        <v>2387</v>
      </c>
      <c r="BC53" s="270">
        <v>45737</v>
      </c>
      <c r="BD53" s="256" t="s">
        <v>2351</v>
      </c>
      <c r="BE53" s="256" t="s">
        <v>186</v>
      </c>
      <c r="BF53" s="262">
        <v>1</v>
      </c>
      <c r="BG53" s="262"/>
      <c r="BH53" s="262"/>
      <c r="BI53" s="262"/>
      <c r="BJ53" s="262"/>
      <c r="BK53" s="262"/>
      <c r="BL53" s="262"/>
      <c r="BM53" s="262">
        <v>1</v>
      </c>
      <c r="BN53" s="262">
        <v>0</v>
      </c>
      <c r="BO53" s="265" t="s">
        <v>612</v>
      </c>
      <c r="BP53" s="265">
        <v>1</v>
      </c>
      <c r="BQ53" s="256" t="s">
        <v>2469</v>
      </c>
      <c r="BR53" s="262">
        <v>1</v>
      </c>
      <c r="BS53" s="256" t="s">
        <v>23</v>
      </c>
      <c r="BT53" s="262" t="s">
        <v>169</v>
      </c>
      <c r="BU53" s="256"/>
      <c r="BV53" s="256" t="s">
        <v>1878</v>
      </c>
      <c r="BW53" s="256" t="s">
        <v>2540</v>
      </c>
      <c r="BX53" s="262">
        <v>1</v>
      </c>
      <c r="BY53" s="256" t="s">
        <v>158</v>
      </c>
      <c r="BZ53" s="256" t="s">
        <v>1349</v>
      </c>
      <c r="CA53" s="256">
        <v>1</v>
      </c>
      <c r="CB53" s="256">
        <v>0</v>
      </c>
      <c r="CC53" s="256">
        <v>0</v>
      </c>
      <c r="CD53" s="256">
        <v>0</v>
      </c>
      <c r="CE53" s="266">
        <v>1</v>
      </c>
      <c r="CF53" s="266">
        <v>0.1</v>
      </c>
      <c r="CG53" s="265" t="s">
        <v>1009</v>
      </c>
      <c r="CH53" s="265" t="s">
        <v>2643</v>
      </c>
      <c r="CI53" s="266">
        <v>1</v>
      </c>
      <c r="CJ53" s="266">
        <v>0</v>
      </c>
      <c r="CK53" s="267">
        <v>2025.0400999999999</v>
      </c>
      <c r="CL53" s="265" t="s">
        <v>23</v>
      </c>
      <c r="CM53" s="265">
        <v>1</v>
      </c>
      <c r="CN53" s="265" t="s">
        <v>289</v>
      </c>
      <c r="CO53" s="265">
        <v>1</v>
      </c>
      <c r="CP53" s="266" t="s">
        <v>290</v>
      </c>
      <c r="CQ53" s="255" t="s">
        <v>960</v>
      </c>
      <c r="CR53" s="255" t="s">
        <v>1671</v>
      </c>
      <c r="CS53" s="255" t="s">
        <v>1672</v>
      </c>
      <c r="CT53" s="255" t="s">
        <v>990</v>
      </c>
      <c r="CU53" s="255" t="s">
        <v>1712</v>
      </c>
      <c r="CV53" s="255" t="s">
        <v>324</v>
      </c>
      <c r="CW53" s="255" t="s">
        <v>961</v>
      </c>
      <c r="CX53" s="255" t="s">
        <v>962</v>
      </c>
      <c r="CY53" s="255" t="s">
        <v>963</v>
      </c>
      <c r="CZ53" s="255" t="s">
        <v>964</v>
      </c>
      <c r="DA53" s="255" t="s">
        <v>965</v>
      </c>
      <c r="DB53" s="255" t="s">
        <v>966</v>
      </c>
      <c r="DC53" s="255"/>
      <c r="DD53" s="255"/>
      <c r="DE53" s="255"/>
      <c r="DF53" s="255"/>
      <c r="DG53" s="255"/>
      <c r="DH53" s="255"/>
      <c r="DI53" s="255" t="s">
        <v>2286</v>
      </c>
      <c r="DJ53" s="255"/>
      <c r="DK53" s="255"/>
      <c r="DL53" s="255">
        <f t="shared" si="1"/>
        <v>6</v>
      </c>
    </row>
    <row r="54" spans="1:116" ht="25.5" x14ac:dyDescent="0.2">
      <c r="A54" s="111"/>
      <c r="B54" s="112" t="s">
        <v>74</v>
      </c>
      <c r="C54" s="113">
        <v>409</v>
      </c>
      <c r="D54" s="131" t="s">
        <v>944</v>
      </c>
      <c r="E54" s="124" t="s">
        <v>945</v>
      </c>
      <c r="F54" s="124" t="s">
        <v>1355</v>
      </c>
      <c r="G54" s="124" t="s">
        <v>2248</v>
      </c>
      <c r="H54" s="124" t="s">
        <v>2599</v>
      </c>
      <c r="I54" s="113" t="s">
        <v>2249</v>
      </c>
      <c r="J54" s="124" t="s">
        <v>2140</v>
      </c>
      <c r="K54" s="124" t="s">
        <v>1184</v>
      </c>
      <c r="L54" s="124" t="s">
        <v>948</v>
      </c>
      <c r="M54" s="113">
        <v>6</v>
      </c>
      <c r="N54" s="113">
        <v>5</v>
      </c>
      <c r="O54" s="113">
        <v>4</v>
      </c>
      <c r="P54" s="113">
        <v>4</v>
      </c>
      <c r="Q54" s="113">
        <v>4</v>
      </c>
      <c r="R54" s="113"/>
      <c r="S54" s="113"/>
      <c r="T54" s="113"/>
      <c r="U54" s="113"/>
      <c r="V54" s="113"/>
      <c r="W54" s="113"/>
      <c r="X54" s="113"/>
      <c r="Y54" s="113"/>
      <c r="Z54" s="113"/>
      <c r="AA54" s="113">
        <v>23</v>
      </c>
      <c r="AB54" s="113">
        <v>48</v>
      </c>
      <c r="AC54" s="125">
        <f t="shared" si="5"/>
        <v>59.5</v>
      </c>
      <c r="AD54" s="116">
        <v>1</v>
      </c>
      <c r="AE54" s="116"/>
      <c r="AF54" s="116"/>
      <c r="AG54" s="116"/>
      <c r="AH54" s="114">
        <v>0.1</v>
      </c>
      <c r="AI54" s="116" t="s">
        <v>298</v>
      </c>
      <c r="AJ54" s="116" t="s">
        <v>2077</v>
      </c>
      <c r="AK54" s="114" t="s">
        <v>1741</v>
      </c>
      <c r="AL54" s="114" t="s">
        <v>1091</v>
      </c>
      <c r="AM54" s="114" t="s">
        <v>943</v>
      </c>
      <c r="AN54" s="114">
        <v>0.1</v>
      </c>
      <c r="AO54" s="114">
        <v>0</v>
      </c>
      <c r="AP54" s="114">
        <v>0.1</v>
      </c>
      <c r="AQ54" s="114">
        <v>0.1</v>
      </c>
      <c r="AR54" s="114">
        <v>0</v>
      </c>
      <c r="AS54" s="114">
        <v>0</v>
      </c>
      <c r="AT54" s="114" t="s">
        <v>952</v>
      </c>
      <c r="AU54" s="113" t="s">
        <v>1450</v>
      </c>
      <c r="AV54" s="116">
        <v>1</v>
      </c>
      <c r="AW54" s="116"/>
      <c r="AX54" s="116"/>
      <c r="AY54" s="116"/>
      <c r="AZ54" s="116"/>
      <c r="BA54" s="116"/>
      <c r="BB54" s="126" t="s">
        <v>2388</v>
      </c>
      <c r="BC54" s="127">
        <v>45737</v>
      </c>
      <c r="BD54" s="113" t="s">
        <v>2351</v>
      </c>
      <c r="BE54" s="113" t="s">
        <v>186</v>
      </c>
      <c r="BF54" s="116">
        <v>1</v>
      </c>
      <c r="BG54" s="116"/>
      <c r="BH54" s="116"/>
      <c r="BI54" s="116"/>
      <c r="BJ54" s="116"/>
      <c r="BK54" s="116"/>
      <c r="BL54" s="116"/>
      <c r="BM54" s="116">
        <v>1</v>
      </c>
      <c r="BN54" s="116">
        <v>0</v>
      </c>
      <c r="BO54" s="117" t="s">
        <v>612</v>
      </c>
      <c r="BP54" s="117">
        <v>1</v>
      </c>
      <c r="BQ54" s="113" t="s">
        <v>2470</v>
      </c>
      <c r="BR54" s="116">
        <v>1</v>
      </c>
      <c r="BS54" s="113" t="s">
        <v>23</v>
      </c>
      <c r="BT54" s="116" t="s">
        <v>169</v>
      </c>
      <c r="BU54" s="113" t="s">
        <v>111</v>
      </c>
      <c r="BV54" s="113" t="s">
        <v>1879</v>
      </c>
      <c r="BW54" s="113" t="s">
        <v>2541</v>
      </c>
      <c r="BX54" s="116">
        <v>1</v>
      </c>
      <c r="BY54" s="113" t="s">
        <v>158</v>
      </c>
      <c r="BZ54" s="113" t="s">
        <v>1350</v>
      </c>
      <c r="CA54" s="113">
        <v>1</v>
      </c>
      <c r="CB54" s="113">
        <v>0</v>
      </c>
      <c r="CC54" s="113">
        <v>0</v>
      </c>
      <c r="CD54" s="113">
        <v>0</v>
      </c>
      <c r="CE54" s="118">
        <v>1</v>
      </c>
      <c r="CF54" s="118">
        <v>0.1</v>
      </c>
      <c r="CG54" s="117" t="s">
        <v>1055</v>
      </c>
      <c r="CH54" s="117" t="s">
        <v>2643</v>
      </c>
      <c r="CI54" s="118">
        <v>1</v>
      </c>
      <c r="CJ54" s="118">
        <v>0</v>
      </c>
      <c r="CK54" s="119">
        <v>2025.0401999999999</v>
      </c>
      <c r="CL54" s="117" t="s">
        <v>23</v>
      </c>
      <c r="CM54" s="117">
        <v>1</v>
      </c>
      <c r="CN54" s="117" t="s">
        <v>289</v>
      </c>
      <c r="CO54" s="117">
        <v>1</v>
      </c>
      <c r="CP54" s="118" t="s">
        <v>290</v>
      </c>
      <c r="CQ54" s="112" t="s">
        <v>1727</v>
      </c>
      <c r="CR54" s="112" t="s">
        <v>1669</v>
      </c>
      <c r="CS54" s="112" t="s">
        <v>1670</v>
      </c>
      <c r="CT54" s="112" t="s">
        <v>990</v>
      </c>
      <c r="CU54" s="112" t="s">
        <v>1714</v>
      </c>
      <c r="CV54" s="112" t="s">
        <v>324</v>
      </c>
      <c r="CW54" s="112" t="s">
        <v>967</v>
      </c>
      <c r="CX54" s="112" t="s">
        <v>968</v>
      </c>
      <c r="CY54" s="112" t="s">
        <v>969</v>
      </c>
      <c r="CZ54" s="112" t="s">
        <v>970</v>
      </c>
      <c r="DA54" s="112" t="s">
        <v>971</v>
      </c>
      <c r="DB54" s="112" t="s">
        <v>972</v>
      </c>
      <c r="DC54" s="112"/>
      <c r="DD54" s="112"/>
      <c r="DE54" s="112"/>
      <c r="DF54" s="112"/>
      <c r="DG54" s="112"/>
      <c r="DH54" s="112"/>
      <c r="DI54" s="112" t="s">
        <v>2287</v>
      </c>
      <c r="DJ54" s="112"/>
      <c r="DK54" s="112"/>
      <c r="DL54" s="112">
        <f t="shared" si="1"/>
        <v>6</v>
      </c>
    </row>
    <row r="55" spans="1:116" s="253" customFormat="1" ht="25.5" x14ac:dyDescent="0.2">
      <c r="A55" s="254"/>
      <c r="B55" s="255" t="s">
        <v>75</v>
      </c>
      <c r="C55" s="256">
        <v>410</v>
      </c>
      <c r="D55" s="274" t="s">
        <v>6</v>
      </c>
      <c r="E55" s="260" t="s">
        <v>480</v>
      </c>
      <c r="F55" s="258" t="s">
        <v>1352</v>
      </c>
      <c r="G55" s="258" t="s">
        <v>2230</v>
      </c>
      <c r="H55" s="258" t="s">
        <v>2593</v>
      </c>
      <c r="I55" s="259" t="s">
        <v>2231</v>
      </c>
      <c r="J55" s="258" t="s">
        <v>2141</v>
      </c>
      <c r="K55" s="260" t="s">
        <v>1199</v>
      </c>
      <c r="L55" s="260" t="s">
        <v>579</v>
      </c>
      <c r="M55" s="256">
        <v>4</v>
      </c>
      <c r="N55" s="256">
        <v>2</v>
      </c>
      <c r="O55" s="256">
        <v>4</v>
      </c>
      <c r="P55" s="256">
        <v>1</v>
      </c>
      <c r="Q55" s="256">
        <v>4</v>
      </c>
      <c r="R55" s="256"/>
      <c r="S55" s="256"/>
      <c r="T55" s="256"/>
      <c r="U55" s="256"/>
      <c r="V55" s="256"/>
      <c r="W55" s="256"/>
      <c r="X55" s="256"/>
      <c r="Y55" s="256"/>
      <c r="Z55" s="256"/>
      <c r="AA55" s="256">
        <v>15</v>
      </c>
      <c r="AB55" s="256">
        <v>75</v>
      </c>
      <c r="AC55" s="261">
        <f t="shared" si="5"/>
        <v>82.5</v>
      </c>
      <c r="AD55" s="262">
        <v>1.5</v>
      </c>
      <c r="AE55" s="262" t="s">
        <v>206</v>
      </c>
      <c r="AF55" s="262"/>
      <c r="AG55" s="262"/>
      <c r="AH55" s="263">
        <v>0.15</v>
      </c>
      <c r="AI55" s="262" t="s">
        <v>298</v>
      </c>
      <c r="AJ55" s="262" t="s">
        <v>2037</v>
      </c>
      <c r="AK55" s="263" t="s">
        <v>1743</v>
      </c>
      <c r="AL55" s="263" t="s">
        <v>1271</v>
      </c>
      <c r="AM55" s="263" t="s">
        <v>700</v>
      </c>
      <c r="AN55" s="263">
        <v>0.15</v>
      </c>
      <c r="AO55" s="263">
        <v>0</v>
      </c>
      <c r="AP55" s="263">
        <v>0.15</v>
      </c>
      <c r="AQ55" s="263">
        <v>0.15</v>
      </c>
      <c r="AR55" s="263">
        <v>0</v>
      </c>
      <c r="AS55" s="263">
        <v>0</v>
      </c>
      <c r="AT55" s="263" t="s">
        <v>952</v>
      </c>
      <c r="AU55" s="256" t="s">
        <v>1451</v>
      </c>
      <c r="AV55" s="262">
        <v>1.5</v>
      </c>
      <c r="AW55" s="262"/>
      <c r="AX55" s="262"/>
      <c r="AY55" s="262"/>
      <c r="AZ55" s="262"/>
      <c r="BA55" s="262"/>
      <c r="BB55" s="256" t="s">
        <v>2389</v>
      </c>
      <c r="BC55" s="264">
        <v>45737</v>
      </c>
      <c r="BD55" s="256" t="s">
        <v>194</v>
      </c>
      <c r="BE55" s="256" t="s">
        <v>187</v>
      </c>
      <c r="BF55" s="262">
        <v>1.5</v>
      </c>
      <c r="BG55" s="262"/>
      <c r="BH55" s="262"/>
      <c r="BI55" s="262"/>
      <c r="BJ55" s="262"/>
      <c r="BK55" s="262"/>
      <c r="BL55" s="262"/>
      <c r="BM55" s="262">
        <v>1.5</v>
      </c>
      <c r="BN55" s="262">
        <v>0</v>
      </c>
      <c r="BO55" s="265" t="s">
        <v>614</v>
      </c>
      <c r="BP55" s="265">
        <v>1.5</v>
      </c>
      <c r="BQ55" s="271" t="s">
        <v>2471</v>
      </c>
      <c r="BR55" s="262">
        <v>1.5</v>
      </c>
      <c r="BS55" s="256" t="s">
        <v>23</v>
      </c>
      <c r="BT55" s="262" t="s">
        <v>169</v>
      </c>
      <c r="BU55" s="256" t="s">
        <v>146</v>
      </c>
      <c r="BV55" s="256" t="s">
        <v>1880</v>
      </c>
      <c r="BW55" s="256" t="s">
        <v>2542</v>
      </c>
      <c r="BX55" s="262">
        <f>AN55*10</f>
        <v>1.5</v>
      </c>
      <c r="BY55" s="256" t="s">
        <v>158</v>
      </c>
      <c r="BZ55" s="256" t="s">
        <v>1360</v>
      </c>
      <c r="CA55" s="256">
        <v>1.5</v>
      </c>
      <c r="CB55" s="256">
        <v>0</v>
      </c>
      <c r="CC55" s="256">
        <v>0</v>
      </c>
      <c r="CD55" s="256">
        <v>0</v>
      </c>
      <c r="CE55" s="266">
        <v>1.5</v>
      </c>
      <c r="CF55" s="266">
        <v>0.1</v>
      </c>
      <c r="CG55" s="265" t="s">
        <v>1039</v>
      </c>
      <c r="CH55" s="265" t="s">
        <v>2643</v>
      </c>
      <c r="CI55" s="266">
        <v>1.5</v>
      </c>
      <c r="CJ55" s="266">
        <v>0</v>
      </c>
      <c r="CK55" s="267">
        <v>2025.0402999999999</v>
      </c>
      <c r="CL55" s="265" t="s">
        <v>23</v>
      </c>
      <c r="CM55" s="265">
        <v>1.5</v>
      </c>
      <c r="CN55" s="265" t="s">
        <v>289</v>
      </c>
      <c r="CO55" s="265">
        <v>1.5</v>
      </c>
      <c r="CP55" s="266" t="s">
        <v>290</v>
      </c>
      <c r="CQ55" s="255" t="s">
        <v>1200</v>
      </c>
      <c r="CR55" s="255" t="s">
        <v>1667</v>
      </c>
      <c r="CS55" s="255" t="s">
        <v>1668</v>
      </c>
      <c r="CT55" s="255" t="s">
        <v>990</v>
      </c>
      <c r="CU55" s="255" t="s">
        <v>1712</v>
      </c>
      <c r="CV55" s="255" t="s">
        <v>324</v>
      </c>
      <c r="CW55" s="255" t="s">
        <v>805</v>
      </c>
      <c r="CX55" s="255" t="s">
        <v>806</v>
      </c>
      <c r="CY55" s="255" t="s">
        <v>807</v>
      </c>
      <c r="CZ55" s="255"/>
      <c r="DA55" s="255"/>
      <c r="DB55" s="255"/>
      <c r="DC55" s="255"/>
      <c r="DD55" s="255"/>
      <c r="DE55" s="255"/>
      <c r="DF55" s="255"/>
      <c r="DG55" s="255"/>
      <c r="DH55" s="255"/>
      <c r="DI55" s="255" t="s">
        <v>2281</v>
      </c>
      <c r="DJ55" s="255"/>
      <c r="DK55" s="255"/>
      <c r="DL55" s="255">
        <f t="shared" si="1"/>
        <v>3</v>
      </c>
    </row>
    <row r="56" spans="1:116" ht="25.5" x14ac:dyDescent="0.2">
      <c r="A56" s="111"/>
      <c r="B56" s="112" t="s">
        <v>76</v>
      </c>
      <c r="C56" s="113">
        <v>411</v>
      </c>
      <c r="D56" s="131" t="s">
        <v>2346</v>
      </c>
      <c r="E56" s="124" t="s">
        <v>480</v>
      </c>
      <c r="F56" s="121" t="s">
        <v>1352</v>
      </c>
      <c r="G56" s="121" t="s">
        <v>2230</v>
      </c>
      <c r="H56" s="121" t="s">
        <v>2593</v>
      </c>
      <c r="I56" s="122" t="s">
        <v>2231</v>
      </c>
      <c r="J56" s="121" t="s">
        <v>2142</v>
      </c>
      <c r="K56" s="124" t="s">
        <v>1802</v>
      </c>
      <c r="L56" s="124" t="s">
        <v>580</v>
      </c>
      <c r="M56" s="113"/>
      <c r="N56" s="113"/>
      <c r="O56" s="113"/>
      <c r="P56" s="113"/>
      <c r="Q56" s="113"/>
      <c r="R56" s="113"/>
      <c r="S56" s="113"/>
      <c r="T56" s="113"/>
      <c r="U56" s="113"/>
      <c r="V56" s="113"/>
      <c r="W56" s="113"/>
      <c r="X56" s="113"/>
      <c r="Y56" s="113"/>
      <c r="Z56" s="113"/>
      <c r="AA56" s="113">
        <f t="shared" ref="AA56:AA71" si="7">SUM(M56:Z56)</f>
        <v>0</v>
      </c>
      <c r="AB56" s="113"/>
      <c r="AC56" s="125">
        <f t="shared" si="5"/>
        <v>0</v>
      </c>
      <c r="AD56" s="116">
        <v>2</v>
      </c>
      <c r="AE56" s="116"/>
      <c r="AF56" s="116"/>
      <c r="AG56" s="116"/>
      <c r="AH56" s="114"/>
      <c r="AI56" s="116"/>
      <c r="AJ56" s="116" t="s">
        <v>2493</v>
      </c>
      <c r="AK56" s="114"/>
      <c r="AL56" s="114" t="s">
        <v>1809</v>
      </c>
      <c r="AM56" s="114" t="s">
        <v>1808</v>
      </c>
      <c r="AN56" s="114">
        <v>0.2</v>
      </c>
      <c r="AO56" s="114">
        <v>0</v>
      </c>
      <c r="AP56" s="114">
        <v>0.2</v>
      </c>
      <c r="AQ56" s="114">
        <v>0.2</v>
      </c>
      <c r="AR56" s="114">
        <v>0</v>
      </c>
      <c r="AS56" s="114">
        <v>0</v>
      </c>
      <c r="AT56" s="114"/>
      <c r="AU56" s="113"/>
      <c r="AV56" s="116"/>
      <c r="AW56" s="116"/>
      <c r="AX56" s="116"/>
      <c r="AY56" s="116"/>
      <c r="AZ56" s="116"/>
      <c r="BA56" s="116"/>
      <c r="BB56" s="113" t="s">
        <v>2390</v>
      </c>
      <c r="BC56" s="128">
        <v>45737</v>
      </c>
      <c r="BD56" s="113" t="s">
        <v>2351</v>
      </c>
      <c r="BE56" s="113" t="s">
        <v>187</v>
      </c>
      <c r="BF56" s="116">
        <v>2</v>
      </c>
      <c r="BG56" s="116"/>
      <c r="BH56" s="116"/>
      <c r="BI56" s="116"/>
      <c r="BJ56" s="116"/>
      <c r="BK56" s="116"/>
      <c r="BL56" s="116"/>
      <c r="BM56" s="116">
        <v>2</v>
      </c>
      <c r="BN56" s="116">
        <v>0</v>
      </c>
      <c r="BO56" s="117" t="s">
        <v>169</v>
      </c>
      <c r="BP56" s="117" t="s">
        <v>169</v>
      </c>
      <c r="BQ56" s="130" t="s">
        <v>2472</v>
      </c>
      <c r="BR56" s="116">
        <v>1.5</v>
      </c>
      <c r="BS56" s="113"/>
      <c r="BT56" s="116" t="s">
        <v>169</v>
      </c>
      <c r="BU56" s="113"/>
      <c r="BV56" s="113" t="s">
        <v>1881</v>
      </c>
      <c r="BW56" s="113" t="s">
        <v>2543</v>
      </c>
      <c r="BX56" s="116">
        <v>2</v>
      </c>
      <c r="BY56" s="113" t="s">
        <v>158</v>
      </c>
      <c r="BZ56" s="113" t="s">
        <v>2633</v>
      </c>
      <c r="CA56" s="113">
        <v>2</v>
      </c>
      <c r="CB56" s="113">
        <v>0</v>
      </c>
      <c r="CC56" s="113">
        <v>0</v>
      </c>
      <c r="CD56" s="113">
        <v>0</v>
      </c>
      <c r="CE56" s="118">
        <v>2</v>
      </c>
      <c r="CF56" s="118" t="s">
        <v>169</v>
      </c>
      <c r="CG56" s="117" t="s">
        <v>169</v>
      </c>
      <c r="CH56" s="117" t="s">
        <v>2643</v>
      </c>
      <c r="CI56" s="118">
        <v>2</v>
      </c>
      <c r="CJ56" s="118">
        <v>0</v>
      </c>
      <c r="CK56" s="119">
        <v>2025.0404000000001</v>
      </c>
      <c r="CL56" s="117" t="s">
        <v>23</v>
      </c>
      <c r="CM56" s="117">
        <v>1.5</v>
      </c>
      <c r="CN56" s="117" t="s">
        <v>289</v>
      </c>
      <c r="CO56" s="117">
        <v>1.5</v>
      </c>
      <c r="CP56" s="118" t="s">
        <v>290</v>
      </c>
      <c r="CQ56" s="112" t="s">
        <v>2335</v>
      </c>
      <c r="CR56" s="112"/>
      <c r="CS56" s="112"/>
      <c r="CT56" s="112" t="s">
        <v>2344</v>
      </c>
      <c r="CU56" s="112"/>
      <c r="CV56" s="112" t="s">
        <v>324</v>
      </c>
      <c r="CW56" s="112" t="s">
        <v>2336</v>
      </c>
      <c r="CX56" s="112" t="s">
        <v>2337</v>
      </c>
      <c r="CY56" s="112" t="s">
        <v>2338</v>
      </c>
      <c r="CZ56" s="112" t="s">
        <v>2339</v>
      </c>
      <c r="DA56" s="112" t="s">
        <v>2340</v>
      </c>
      <c r="DB56" s="112"/>
      <c r="DC56" s="112"/>
      <c r="DD56" s="112"/>
      <c r="DE56" s="112"/>
      <c r="DF56" s="112"/>
      <c r="DG56" s="112"/>
      <c r="DH56" s="112"/>
      <c r="DI56" s="112"/>
      <c r="DJ56" s="112"/>
      <c r="DK56" s="112"/>
      <c r="DL56" s="112">
        <f t="shared" si="1"/>
        <v>5</v>
      </c>
    </row>
    <row r="57" spans="1:116" s="253" customFormat="1" ht="25.5" x14ac:dyDescent="0.2">
      <c r="A57" s="254"/>
      <c r="B57" s="255" t="s">
        <v>77</v>
      </c>
      <c r="C57" s="256">
        <v>412</v>
      </c>
      <c r="D57" s="274" t="s">
        <v>8</v>
      </c>
      <c r="E57" s="260" t="s">
        <v>480</v>
      </c>
      <c r="F57" s="258" t="s">
        <v>1352</v>
      </c>
      <c r="G57" s="258" t="s">
        <v>2230</v>
      </c>
      <c r="H57" s="258" t="s">
        <v>2593</v>
      </c>
      <c r="I57" s="259" t="s">
        <v>2231</v>
      </c>
      <c r="J57" s="258" t="s">
        <v>2143</v>
      </c>
      <c r="K57" s="260" t="s">
        <v>1201</v>
      </c>
      <c r="L57" s="260" t="s">
        <v>581</v>
      </c>
      <c r="M57" s="256">
        <v>5</v>
      </c>
      <c r="N57" s="256">
        <v>1</v>
      </c>
      <c r="O57" s="256">
        <v>1</v>
      </c>
      <c r="P57" s="256">
        <v>5</v>
      </c>
      <c r="Q57" s="256">
        <v>1</v>
      </c>
      <c r="R57" s="256">
        <v>1</v>
      </c>
      <c r="S57" s="256">
        <v>4</v>
      </c>
      <c r="T57" s="256">
        <v>1</v>
      </c>
      <c r="U57" s="256">
        <v>6</v>
      </c>
      <c r="V57" s="256">
        <v>4</v>
      </c>
      <c r="W57" s="256">
        <v>9</v>
      </c>
      <c r="X57" s="256"/>
      <c r="Y57" s="256"/>
      <c r="Z57" s="256"/>
      <c r="AA57" s="256">
        <v>38</v>
      </c>
      <c r="AB57" s="256">
        <v>138</v>
      </c>
      <c r="AC57" s="261">
        <f t="shared" si="5"/>
        <v>157</v>
      </c>
      <c r="AD57" s="262">
        <v>3</v>
      </c>
      <c r="AE57" s="262"/>
      <c r="AF57" s="262"/>
      <c r="AG57" s="262"/>
      <c r="AH57" s="263">
        <v>0.3</v>
      </c>
      <c r="AI57" s="262" t="s">
        <v>298</v>
      </c>
      <c r="AJ57" s="262" t="s">
        <v>2038</v>
      </c>
      <c r="AK57" s="263" t="s">
        <v>1744</v>
      </c>
      <c r="AL57" s="263" t="s">
        <v>1272</v>
      </c>
      <c r="AM57" s="263" t="s">
        <v>699</v>
      </c>
      <c r="AN57" s="263">
        <v>0.3</v>
      </c>
      <c r="AO57" s="263">
        <v>0.3</v>
      </c>
      <c r="AP57" s="263">
        <v>0.3</v>
      </c>
      <c r="AQ57" s="263">
        <v>0.3</v>
      </c>
      <c r="AR57" s="263">
        <v>0</v>
      </c>
      <c r="AS57" s="263">
        <v>0</v>
      </c>
      <c r="AT57" s="263" t="s">
        <v>952</v>
      </c>
      <c r="AU57" s="256" t="s">
        <v>1452</v>
      </c>
      <c r="AV57" s="262">
        <v>2.5</v>
      </c>
      <c r="AW57" s="262"/>
      <c r="AX57" s="262"/>
      <c r="AY57" s="262"/>
      <c r="AZ57" s="262"/>
      <c r="BA57" s="262"/>
      <c r="BB57" s="256" t="s">
        <v>2391</v>
      </c>
      <c r="BC57" s="264">
        <v>45737</v>
      </c>
      <c r="BD57" s="256" t="s">
        <v>2402</v>
      </c>
      <c r="BE57" s="256" t="s">
        <v>187</v>
      </c>
      <c r="BF57" s="262">
        <v>3</v>
      </c>
      <c r="BG57" s="262"/>
      <c r="BH57" s="262"/>
      <c r="BI57" s="262"/>
      <c r="BJ57" s="262"/>
      <c r="BK57" s="262"/>
      <c r="BL57" s="262"/>
      <c r="BM57" s="262">
        <v>3</v>
      </c>
      <c r="BN57" s="262">
        <v>0</v>
      </c>
      <c r="BO57" s="265" t="s">
        <v>617</v>
      </c>
      <c r="BP57" s="265">
        <v>3</v>
      </c>
      <c r="BQ57" s="256" t="s">
        <v>2473</v>
      </c>
      <c r="BR57" s="262">
        <v>3</v>
      </c>
      <c r="BS57" s="256" t="s">
        <v>23</v>
      </c>
      <c r="BT57" s="262" t="s">
        <v>169</v>
      </c>
      <c r="BU57" s="256" t="s">
        <v>138</v>
      </c>
      <c r="BV57" s="256" t="s">
        <v>1882</v>
      </c>
      <c r="BW57" s="256" t="s">
        <v>2544</v>
      </c>
      <c r="BX57" s="262">
        <f>AN57*10</f>
        <v>3</v>
      </c>
      <c r="BY57" s="256" t="s">
        <v>158</v>
      </c>
      <c r="BZ57" s="256" t="s">
        <v>2634</v>
      </c>
      <c r="CA57" s="256">
        <v>3</v>
      </c>
      <c r="CB57" s="256">
        <v>0</v>
      </c>
      <c r="CC57" s="256">
        <v>0</v>
      </c>
      <c r="CD57" s="256">
        <v>0</v>
      </c>
      <c r="CE57" s="266">
        <v>3</v>
      </c>
      <c r="CF57" s="266">
        <v>0.2</v>
      </c>
      <c r="CG57" s="265" t="s">
        <v>1040</v>
      </c>
      <c r="CH57" s="265" t="s">
        <v>2643</v>
      </c>
      <c r="CI57" s="266">
        <v>3</v>
      </c>
      <c r="CJ57" s="266">
        <v>0</v>
      </c>
      <c r="CK57" s="267">
        <v>2025.0405000000001</v>
      </c>
      <c r="CL57" s="265" t="s">
        <v>23</v>
      </c>
      <c r="CM57" s="265">
        <v>3</v>
      </c>
      <c r="CN57" s="265" t="s">
        <v>289</v>
      </c>
      <c r="CO57" s="265">
        <v>3</v>
      </c>
      <c r="CP57" s="266" t="s">
        <v>315</v>
      </c>
      <c r="CQ57" s="275" t="s">
        <v>325</v>
      </c>
      <c r="CR57" s="275" t="s">
        <v>1665</v>
      </c>
      <c r="CS57" s="275" t="s">
        <v>1666</v>
      </c>
      <c r="CT57" s="275" t="s">
        <v>991</v>
      </c>
      <c r="CU57" s="275" t="s">
        <v>1713</v>
      </c>
      <c r="CV57" s="275" t="s">
        <v>324</v>
      </c>
      <c r="CW57" s="255" t="s">
        <v>808</v>
      </c>
      <c r="CX57" s="255" t="s">
        <v>809</v>
      </c>
      <c r="CY57" s="255" t="s">
        <v>810</v>
      </c>
      <c r="CZ57" s="255" t="s">
        <v>811</v>
      </c>
      <c r="DA57" s="255" t="s">
        <v>812</v>
      </c>
      <c r="DB57" s="255" t="s">
        <v>813</v>
      </c>
      <c r="DC57" s="255" t="s">
        <v>814</v>
      </c>
      <c r="DD57" s="255" t="s">
        <v>815</v>
      </c>
      <c r="DE57" s="255"/>
      <c r="DF57" s="255"/>
      <c r="DG57" s="255"/>
      <c r="DH57" s="255"/>
      <c r="DI57" s="255" t="s">
        <v>2288</v>
      </c>
      <c r="DJ57" s="255"/>
      <c r="DK57" s="255"/>
      <c r="DL57" s="255">
        <f t="shared" si="1"/>
        <v>8</v>
      </c>
    </row>
    <row r="58" spans="1:116" ht="25.5" x14ac:dyDescent="0.2">
      <c r="A58" s="111"/>
      <c r="B58" s="112" t="s">
        <v>78</v>
      </c>
      <c r="C58" s="113">
        <v>413</v>
      </c>
      <c r="D58" s="131" t="s">
        <v>9</v>
      </c>
      <c r="E58" s="124" t="s">
        <v>480</v>
      </c>
      <c r="F58" s="121" t="s">
        <v>1352</v>
      </c>
      <c r="G58" s="121" t="s">
        <v>2230</v>
      </c>
      <c r="H58" s="121" t="s">
        <v>2593</v>
      </c>
      <c r="I58" s="122" t="s">
        <v>2231</v>
      </c>
      <c r="J58" s="121" t="s">
        <v>2144</v>
      </c>
      <c r="K58" s="124" t="s">
        <v>1202</v>
      </c>
      <c r="L58" s="124" t="s">
        <v>582</v>
      </c>
      <c r="M58" s="113">
        <v>4</v>
      </c>
      <c r="N58" s="113">
        <v>5</v>
      </c>
      <c r="O58" s="113">
        <v>6</v>
      </c>
      <c r="P58" s="113">
        <v>1</v>
      </c>
      <c r="Q58" s="113">
        <v>5</v>
      </c>
      <c r="R58" s="113">
        <v>12</v>
      </c>
      <c r="S58" s="113"/>
      <c r="T58" s="113"/>
      <c r="U58" s="113"/>
      <c r="V58" s="113"/>
      <c r="W58" s="113"/>
      <c r="X58" s="113"/>
      <c r="Y58" s="113"/>
      <c r="Z58" s="113"/>
      <c r="AA58" s="113">
        <v>33</v>
      </c>
      <c r="AB58" s="113">
        <v>95</v>
      </c>
      <c r="AC58" s="125">
        <f t="shared" si="5"/>
        <v>111.5</v>
      </c>
      <c r="AD58" s="116">
        <v>2</v>
      </c>
      <c r="AE58" s="116"/>
      <c r="AF58" s="116"/>
      <c r="AG58" s="116"/>
      <c r="AH58" s="114">
        <v>0.2</v>
      </c>
      <c r="AI58" s="116" t="s">
        <v>298</v>
      </c>
      <c r="AJ58" s="116" t="s">
        <v>2039</v>
      </c>
      <c r="AK58" s="114" t="s">
        <v>1921</v>
      </c>
      <c r="AL58" s="114" t="s">
        <v>1275</v>
      </c>
      <c r="AM58" s="114" t="s">
        <v>697</v>
      </c>
      <c r="AN58" s="114">
        <v>0.2</v>
      </c>
      <c r="AO58" s="114">
        <v>0</v>
      </c>
      <c r="AP58" s="114">
        <v>0.2</v>
      </c>
      <c r="AQ58" s="114">
        <v>0.2</v>
      </c>
      <c r="AR58" s="114">
        <v>0</v>
      </c>
      <c r="AS58" s="114">
        <v>0</v>
      </c>
      <c r="AT58" s="114" t="s">
        <v>952</v>
      </c>
      <c r="AU58" s="113" t="s">
        <v>1453</v>
      </c>
      <c r="AV58" s="116">
        <v>2</v>
      </c>
      <c r="AW58" s="116"/>
      <c r="AX58" s="116"/>
      <c r="AY58" s="116"/>
      <c r="AZ58" s="116"/>
      <c r="BA58" s="116"/>
      <c r="BB58" s="113" t="s">
        <v>2392</v>
      </c>
      <c r="BC58" s="128">
        <v>45737</v>
      </c>
      <c r="BD58" s="113" t="s">
        <v>2402</v>
      </c>
      <c r="BE58" s="113" t="s">
        <v>187</v>
      </c>
      <c r="BF58" s="116">
        <v>2</v>
      </c>
      <c r="BG58" s="116"/>
      <c r="BH58" s="116"/>
      <c r="BI58" s="116"/>
      <c r="BJ58" s="116"/>
      <c r="BK58" s="116"/>
      <c r="BL58" s="116"/>
      <c r="BM58" s="116">
        <v>2</v>
      </c>
      <c r="BN58" s="116">
        <v>0</v>
      </c>
      <c r="BO58" s="117" t="s">
        <v>615</v>
      </c>
      <c r="BP58" s="117">
        <v>2</v>
      </c>
      <c r="BQ58" s="113" t="s">
        <v>2474</v>
      </c>
      <c r="BR58" s="116">
        <v>2</v>
      </c>
      <c r="BS58" s="113" t="s">
        <v>23</v>
      </c>
      <c r="BT58" s="116" t="s">
        <v>169</v>
      </c>
      <c r="BU58" s="113" t="s">
        <v>116</v>
      </c>
      <c r="BV58" s="113" t="s">
        <v>1883</v>
      </c>
      <c r="BW58" s="113" t="s">
        <v>2545</v>
      </c>
      <c r="BX58" s="116">
        <f>AN58*10</f>
        <v>2</v>
      </c>
      <c r="BY58" s="113" t="s">
        <v>158</v>
      </c>
      <c r="BZ58" s="113" t="s">
        <v>1361</v>
      </c>
      <c r="CA58" s="113">
        <v>2</v>
      </c>
      <c r="CB58" s="113">
        <v>0</v>
      </c>
      <c r="CC58" s="113">
        <v>0</v>
      </c>
      <c r="CD58" s="113">
        <v>0</v>
      </c>
      <c r="CE58" s="118">
        <v>2</v>
      </c>
      <c r="CF58" s="118">
        <v>0.2</v>
      </c>
      <c r="CG58" s="117" t="s">
        <v>1041</v>
      </c>
      <c r="CH58" s="117" t="s">
        <v>2643</v>
      </c>
      <c r="CI58" s="118">
        <v>2</v>
      </c>
      <c r="CJ58" s="118">
        <v>0</v>
      </c>
      <c r="CK58" s="119">
        <v>2025.0406</v>
      </c>
      <c r="CL58" s="117" t="s">
        <v>23</v>
      </c>
      <c r="CM58" s="117">
        <v>2</v>
      </c>
      <c r="CN58" s="117" t="s">
        <v>289</v>
      </c>
      <c r="CO58" s="117">
        <v>2</v>
      </c>
      <c r="CP58" s="118" t="s">
        <v>315</v>
      </c>
      <c r="CQ58" s="112" t="s">
        <v>101</v>
      </c>
      <c r="CR58" s="112" t="s">
        <v>1664</v>
      </c>
      <c r="CS58" s="112" t="s">
        <v>2226</v>
      </c>
      <c r="CT58" s="112" t="s">
        <v>992</v>
      </c>
      <c r="CU58" s="112" t="s">
        <v>1713</v>
      </c>
      <c r="CV58" s="112" t="s">
        <v>324</v>
      </c>
      <c r="CW58" s="112" t="s">
        <v>816</v>
      </c>
      <c r="CX58" s="112" t="s">
        <v>817</v>
      </c>
      <c r="CY58" s="112" t="s">
        <v>818</v>
      </c>
      <c r="CZ58" s="112" t="s">
        <v>819</v>
      </c>
      <c r="DA58" s="112" t="s">
        <v>820</v>
      </c>
      <c r="DB58" s="112" t="s">
        <v>821</v>
      </c>
      <c r="DC58" s="112" t="s">
        <v>822</v>
      </c>
      <c r="DD58" s="112"/>
      <c r="DE58" s="112"/>
      <c r="DF58" s="112"/>
      <c r="DG58" s="112"/>
      <c r="DH58" s="112"/>
      <c r="DI58" s="112" t="s">
        <v>2288</v>
      </c>
      <c r="DJ58" s="112"/>
      <c r="DK58" s="112"/>
      <c r="DL58" s="112">
        <f t="shared" si="1"/>
        <v>7</v>
      </c>
    </row>
    <row r="59" spans="1:116" s="253" customFormat="1" ht="26.25" x14ac:dyDescent="0.25">
      <c r="A59" s="254"/>
      <c r="B59" s="255" t="s">
        <v>79</v>
      </c>
      <c r="C59" s="256">
        <v>414</v>
      </c>
      <c r="D59" s="274" t="s">
        <v>154</v>
      </c>
      <c r="E59" s="260" t="s">
        <v>481</v>
      </c>
      <c r="F59" s="260" t="s">
        <v>1356</v>
      </c>
      <c r="G59" s="260" t="s">
        <v>2250</v>
      </c>
      <c r="H59" s="277" t="s">
        <v>2600</v>
      </c>
      <c r="I59" s="256" t="s">
        <v>2251</v>
      </c>
      <c r="J59" s="260" t="s">
        <v>2145</v>
      </c>
      <c r="K59" s="260" t="s">
        <v>1185</v>
      </c>
      <c r="L59" s="260" t="s">
        <v>560</v>
      </c>
      <c r="M59" s="256">
        <v>4</v>
      </c>
      <c r="N59" s="256">
        <v>4</v>
      </c>
      <c r="O59" s="256">
        <v>1</v>
      </c>
      <c r="P59" s="256">
        <v>5</v>
      </c>
      <c r="Q59" s="256">
        <v>1</v>
      </c>
      <c r="R59" s="256">
        <v>4</v>
      </c>
      <c r="S59" s="256"/>
      <c r="T59" s="256"/>
      <c r="U59" s="256"/>
      <c r="V59" s="256"/>
      <c r="W59" s="256"/>
      <c r="X59" s="256"/>
      <c r="Y59" s="256"/>
      <c r="Z59" s="256"/>
      <c r="AA59" s="256">
        <v>19</v>
      </c>
      <c r="AB59" s="256">
        <v>78</v>
      </c>
      <c r="AC59" s="261">
        <f t="shared" si="5"/>
        <v>87.5</v>
      </c>
      <c r="AD59" s="262">
        <v>1.5</v>
      </c>
      <c r="AE59" s="262"/>
      <c r="AF59" s="262"/>
      <c r="AG59" s="262"/>
      <c r="AH59" s="263">
        <v>0.15</v>
      </c>
      <c r="AI59" s="262" t="s">
        <v>298</v>
      </c>
      <c r="AJ59" s="262" t="s">
        <v>2040</v>
      </c>
      <c r="AK59" s="263" t="s">
        <v>1745</v>
      </c>
      <c r="AL59" s="263" t="s">
        <v>1090</v>
      </c>
      <c r="AM59" s="263" t="s">
        <v>696</v>
      </c>
      <c r="AN59" s="263">
        <v>0.15</v>
      </c>
      <c r="AO59" s="263">
        <v>0.15</v>
      </c>
      <c r="AP59" s="263">
        <v>0.15</v>
      </c>
      <c r="AQ59" s="263">
        <v>0.15</v>
      </c>
      <c r="AR59" s="263">
        <v>0</v>
      </c>
      <c r="AS59" s="263">
        <v>0</v>
      </c>
      <c r="AT59" s="263" t="s">
        <v>952</v>
      </c>
      <c r="AU59" s="256" t="s">
        <v>1454</v>
      </c>
      <c r="AV59" s="262">
        <v>1.5</v>
      </c>
      <c r="AW59" s="262"/>
      <c r="AX59" s="262"/>
      <c r="AY59" s="262"/>
      <c r="AZ59" s="262"/>
      <c r="BA59" s="262"/>
      <c r="BB59" s="256" t="s">
        <v>2393</v>
      </c>
      <c r="BC59" s="264">
        <v>45737</v>
      </c>
      <c r="BD59" s="256" t="s">
        <v>2351</v>
      </c>
      <c r="BE59" s="256" t="s">
        <v>187</v>
      </c>
      <c r="BF59" s="262">
        <v>1.5</v>
      </c>
      <c r="BG59" s="262"/>
      <c r="BH59" s="262"/>
      <c r="BI59" s="262"/>
      <c r="BJ59" s="262"/>
      <c r="BK59" s="262"/>
      <c r="BL59" s="262"/>
      <c r="BM59" s="262">
        <v>1.5</v>
      </c>
      <c r="BN59" s="262">
        <v>1.2</v>
      </c>
      <c r="BO59" s="265" t="s">
        <v>614</v>
      </c>
      <c r="BP59" s="265">
        <v>1.5</v>
      </c>
      <c r="BQ59" s="271" t="s">
        <v>2475</v>
      </c>
      <c r="BR59" s="262">
        <v>1.5</v>
      </c>
      <c r="BS59" s="256" t="s">
        <v>23</v>
      </c>
      <c r="BT59" s="262" t="s">
        <v>169</v>
      </c>
      <c r="BU59" s="256" t="s">
        <v>144</v>
      </c>
      <c r="BV59" s="256" t="s">
        <v>1884</v>
      </c>
      <c r="BW59" s="256" t="s">
        <v>2546</v>
      </c>
      <c r="BX59" s="262">
        <f>AN59*10</f>
        <v>1.5</v>
      </c>
      <c r="BY59" s="256" t="s">
        <v>158</v>
      </c>
      <c r="BZ59" s="256" t="s">
        <v>1362</v>
      </c>
      <c r="CA59" s="256">
        <v>1.5</v>
      </c>
      <c r="CB59" s="256">
        <v>0</v>
      </c>
      <c r="CC59" s="256">
        <v>0</v>
      </c>
      <c r="CD59" s="256">
        <v>0</v>
      </c>
      <c r="CE59" s="266">
        <v>1.5</v>
      </c>
      <c r="CF59" s="266">
        <v>0.1</v>
      </c>
      <c r="CG59" s="265" t="s">
        <v>1042</v>
      </c>
      <c r="CH59" s="265" t="s">
        <v>2643</v>
      </c>
      <c r="CI59" s="266">
        <v>1.5</v>
      </c>
      <c r="CJ59" s="266">
        <v>0</v>
      </c>
      <c r="CK59" s="267">
        <v>2025.0407</v>
      </c>
      <c r="CL59" s="265" t="s">
        <v>23</v>
      </c>
      <c r="CM59" s="265">
        <v>1.5</v>
      </c>
      <c r="CN59" s="265" t="s">
        <v>289</v>
      </c>
      <c r="CO59" s="265">
        <v>1.5</v>
      </c>
      <c r="CP59" s="266" t="s">
        <v>315</v>
      </c>
      <c r="CQ59" s="275" t="s">
        <v>1007</v>
      </c>
      <c r="CR59" s="275" t="s">
        <v>1662</v>
      </c>
      <c r="CS59" s="275" t="s">
        <v>1663</v>
      </c>
      <c r="CT59" s="275" t="s">
        <v>993</v>
      </c>
      <c r="CU59" s="275" t="s">
        <v>1713</v>
      </c>
      <c r="CV59" s="275" t="s">
        <v>324</v>
      </c>
      <c r="CW59" s="255" t="s">
        <v>823</v>
      </c>
      <c r="CX59" s="255" t="s">
        <v>824</v>
      </c>
      <c r="CY59" s="255" t="s">
        <v>825</v>
      </c>
      <c r="CZ59" s="255" t="s">
        <v>826</v>
      </c>
      <c r="DA59" s="255" t="s">
        <v>827</v>
      </c>
      <c r="DB59" s="255" t="s">
        <v>828</v>
      </c>
      <c r="DC59" s="255"/>
      <c r="DD59" s="255"/>
      <c r="DE59" s="255"/>
      <c r="DF59" s="255"/>
      <c r="DG59" s="255"/>
      <c r="DH59" s="255"/>
      <c r="DI59" s="255" t="s">
        <v>2289</v>
      </c>
      <c r="DJ59" s="255"/>
      <c r="DK59" s="255"/>
      <c r="DL59" s="255">
        <f t="shared" si="1"/>
        <v>6</v>
      </c>
    </row>
    <row r="60" spans="1:116" ht="29.25" customHeight="1" x14ac:dyDescent="0.2">
      <c r="A60" s="111"/>
      <c r="B60" s="112" t="s">
        <v>80</v>
      </c>
      <c r="C60" s="113">
        <v>415</v>
      </c>
      <c r="D60" s="131" t="s">
        <v>7</v>
      </c>
      <c r="E60" s="124" t="s">
        <v>480</v>
      </c>
      <c r="F60" s="121" t="s">
        <v>1352</v>
      </c>
      <c r="G60" s="121" t="s">
        <v>2230</v>
      </c>
      <c r="H60" s="121" t="s">
        <v>2593</v>
      </c>
      <c r="I60" s="122" t="s">
        <v>2231</v>
      </c>
      <c r="J60" s="121" t="s">
        <v>2146</v>
      </c>
      <c r="K60" s="124" t="s">
        <v>1203</v>
      </c>
      <c r="L60" s="124" t="s">
        <v>583</v>
      </c>
      <c r="M60" s="113">
        <v>1</v>
      </c>
      <c r="N60" s="113">
        <v>1</v>
      </c>
      <c r="O60" s="113">
        <v>1</v>
      </c>
      <c r="P60" s="113">
        <v>1</v>
      </c>
      <c r="Q60" s="113">
        <v>4</v>
      </c>
      <c r="R60" s="113">
        <v>1</v>
      </c>
      <c r="S60" s="113">
        <v>1</v>
      </c>
      <c r="T60" s="113">
        <v>1</v>
      </c>
      <c r="U60" s="113">
        <v>5</v>
      </c>
      <c r="V60" s="113">
        <v>1</v>
      </c>
      <c r="W60" s="113">
        <v>1</v>
      </c>
      <c r="X60" s="113">
        <v>1</v>
      </c>
      <c r="Y60" s="113">
        <v>10</v>
      </c>
      <c r="Z60" s="113"/>
      <c r="AA60" s="113">
        <v>29</v>
      </c>
      <c r="AB60" s="113">
        <v>125</v>
      </c>
      <c r="AC60" s="125">
        <f t="shared" si="5"/>
        <v>139.5</v>
      </c>
      <c r="AD60" s="116">
        <v>2.5</v>
      </c>
      <c r="AE60" s="116"/>
      <c r="AF60" s="116"/>
      <c r="AG60" s="116"/>
      <c r="AH60" s="114">
        <v>0.25</v>
      </c>
      <c r="AI60" s="116" t="s">
        <v>298</v>
      </c>
      <c r="AJ60" s="116" t="s">
        <v>2041</v>
      </c>
      <c r="AK60" s="114" t="s">
        <v>1920</v>
      </c>
      <c r="AL60" s="114" t="s">
        <v>1273</v>
      </c>
      <c r="AM60" s="114" t="s">
        <v>695</v>
      </c>
      <c r="AN60" s="114">
        <v>0.25</v>
      </c>
      <c r="AO60" s="114">
        <v>0</v>
      </c>
      <c r="AP60" s="114">
        <v>0.25</v>
      </c>
      <c r="AQ60" s="114">
        <v>0.25</v>
      </c>
      <c r="AR60" s="114">
        <v>0</v>
      </c>
      <c r="AS60" s="114">
        <v>0</v>
      </c>
      <c r="AT60" s="114" t="s">
        <v>952</v>
      </c>
      <c r="AU60" s="113" t="s">
        <v>1455</v>
      </c>
      <c r="AV60" s="116">
        <v>2.5</v>
      </c>
      <c r="AW60" s="116"/>
      <c r="AX60" s="116"/>
      <c r="AY60" s="116"/>
      <c r="AZ60" s="116"/>
      <c r="BA60" s="116"/>
      <c r="BB60" s="113" t="s">
        <v>195</v>
      </c>
      <c r="BC60" s="113">
        <v>2016</v>
      </c>
      <c r="BD60" s="113" t="s">
        <v>2351</v>
      </c>
      <c r="BE60" s="113" t="s">
        <v>187</v>
      </c>
      <c r="BF60" s="116">
        <v>2</v>
      </c>
      <c r="BG60" s="116"/>
      <c r="BH60" s="116"/>
      <c r="BI60" s="116"/>
      <c r="BJ60" s="116"/>
      <c r="BK60" s="116"/>
      <c r="BL60" s="116"/>
      <c r="BM60" s="116">
        <v>2.5</v>
      </c>
      <c r="BN60" s="116">
        <v>0</v>
      </c>
      <c r="BO60" s="117" t="s">
        <v>616</v>
      </c>
      <c r="BP60" s="117">
        <v>2.5</v>
      </c>
      <c r="BQ60" s="113" t="s">
        <v>2476</v>
      </c>
      <c r="BR60" s="116">
        <v>2.5</v>
      </c>
      <c r="BS60" s="113" t="s">
        <v>23</v>
      </c>
      <c r="BT60" s="116" t="s">
        <v>169</v>
      </c>
      <c r="BU60" s="113" t="s">
        <v>112</v>
      </c>
      <c r="BV60" s="113" t="s">
        <v>1885</v>
      </c>
      <c r="BW60" s="113" t="s">
        <v>2547</v>
      </c>
      <c r="BX60" s="116">
        <f>AN60*10</f>
        <v>2.5</v>
      </c>
      <c r="BY60" s="113" t="s">
        <v>158</v>
      </c>
      <c r="BZ60" s="113" t="s">
        <v>1363</v>
      </c>
      <c r="CA60" s="113">
        <v>2.5</v>
      </c>
      <c r="CB60" s="113">
        <v>0</v>
      </c>
      <c r="CC60" s="113">
        <v>0</v>
      </c>
      <c r="CD60" s="113">
        <v>0</v>
      </c>
      <c r="CE60" s="118">
        <v>2.5</v>
      </c>
      <c r="CF60" s="118">
        <v>0.2</v>
      </c>
      <c r="CG60" s="117" t="s">
        <v>1043</v>
      </c>
      <c r="CH60" s="117" t="s">
        <v>2643</v>
      </c>
      <c r="CI60" s="118">
        <v>2.5</v>
      </c>
      <c r="CJ60" s="118">
        <v>0</v>
      </c>
      <c r="CK60" s="119">
        <v>2025.0408</v>
      </c>
      <c r="CL60" s="117" t="s">
        <v>23</v>
      </c>
      <c r="CM60" s="117">
        <v>2.5</v>
      </c>
      <c r="CN60" s="117" t="s">
        <v>289</v>
      </c>
      <c r="CO60" s="117">
        <v>2.5</v>
      </c>
      <c r="CP60" s="118" t="s">
        <v>315</v>
      </c>
      <c r="CQ60" s="112" t="s">
        <v>1726</v>
      </c>
      <c r="CR60" s="112" t="s">
        <v>1660</v>
      </c>
      <c r="CS60" s="112" t="s">
        <v>1661</v>
      </c>
      <c r="CT60" s="112" t="s">
        <v>994</v>
      </c>
      <c r="CU60" s="112" t="s">
        <v>1714</v>
      </c>
      <c r="CV60" s="112" t="s">
        <v>324</v>
      </c>
      <c r="CW60" s="112" t="s">
        <v>829</v>
      </c>
      <c r="CX60" s="112" t="s">
        <v>830</v>
      </c>
      <c r="CY60" s="112" t="s">
        <v>831</v>
      </c>
      <c r="CZ60" s="112" t="s">
        <v>832</v>
      </c>
      <c r="DA60" s="112" t="s">
        <v>833</v>
      </c>
      <c r="DB60" s="112" t="s">
        <v>834</v>
      </c>
      <c r="DC60" s="112" t="s">
        <v>835</v>
      </c>
      <c r="DD60" s="112" t="s">
        <v>836</v>
      </c>
      <c r="DE60" s="112"/>
      <c r="DF60" s="112"/>
      <c r="DG60" s="112"/>
      <c r="DH60" s="112"/>
      <c r="DI60" s="112" t="s">
        <v>2290</v>
      </c>
      <c r="DJ60" s="112"/>
      <c r="DK60" s="112"/>
      <c r="DL60" s="112">
        <f t="shared" si="1"/>
        <v>8</v>
      </c>
    </row>
    <row r="61" spans="1:116" s="253" customFormat="1" ht="25.5" x14ac:dyDescent="0.2">
      <c r="A61" s="254"/>
      <c r="B61" s="255"/>
      <c r="C61" s="256">
        <v>416</v>
      </c>
      <c r="D61" s="274" t="s">
        <v>2347</v>
      </c>
      <c r="E61" s="260"/>
      <c r="F61" s="258" t="s">
        <v>1352</v>
      </c>
      <c r="G61" s="258" t="s">
        <v>2230</v>
      </c>
      <c r="H61" s="258"/>
      <c r="I61" s="259" t="s">
        <v>2231</v>
      </c>
      <c r="J61" s="258" t="s">
        <v>2147</v>
      </c>
      <c r="K61" s="260" t="s">
        <v>1805</v>
      </c>
      <c r="L61" s="260"/>
      <c r="M61" s="256"/>
      <c r="N61" s="256"/>
      <c r="O61" s="256"/>
      <c r="P61" s="256"/>
      <c r="Q61" s="256"/>
      <c r="R61" s="256"/>
      <c r="S61" s="256"/>
      <c r="T61" s="256"/>
      <c r="U61" s="256"/>
      <c r="V61" s="256"/>
      <c r="W61" s="256"/>
      <c r="X61" s="256"/>
      <c r="Y61" s="256"/>
      <c r="Z61" s="256"/>
      <c r="AA61" s="256">
        <f t="shared" si="7"/>
        <v>0</v>
      </c>
      <c r="AB61" s="256"/>
      <c r="AC61" s="261">
        <f t="shared" si="5"/>
        <v>0</v>
      </c>
      <c r="AD61" s="262">
        <v>1</v>
      </c>
      <c r="AE61" s="262"/>
      <c r="AF61" s="262"/>
      <c r="AG61" s="262"/>
      <c r="AH61" s="263"/>
      <c r="AI61" s="262"/>
      <c r="AJ61" s="262"/>
      <c r="AK61" s="263"/>
      <c r="AL61" s="263" t="s">
        <v>1465</v>
      </c>
      <c r="AM61" s="263" t="s">
        <v>1808</v>
      </c>
      <c r="AN61" s="263">
        <v>0.1</v>
      </c>
      <c r="AO61" s="263">
        <v>0.1</v>
      </c>
      <c r="AP61" s="263">
        <v>0.1</v>
      </c>
      <c r="AQ61" s="263">
        <v>0.1</v>
      </c>
      <c r="AR61" s="263">
        <v>0</v>
      </c>
      <c r="AS61" s="263">
        <v>0</v>
      </c>
      <c r="AT61" s="263" t="s">
        <v>952</v>
      </c>
      <c r="AU61" s="256" t="s">
        <v>2221</v>
      </c>
      <c r="AV61" s="261">
        <v>0</v>
      </c>
      <c r="AW61" s="262"/>
      <c r="AX61" s="262"/>
      <c r="AY61" s="262"/>
      <c r="AZ61" s="262"/>
      <c r="BA61" s="262"/>
      <c r="BB61" s="256" t="s">
        <v>2221</v>
      </c>
      <c r="BC61" s="256"/>
      <c r="BD61" s="256"/>
      <c r="BE61" s="256"/>
      <c r="BF61" s="262"/>
      <c r="BG61" s="262"/>
      <c r="BH61" s="262"/>
      <c r="BI61" s="262"/>
      <c r="BJ61" s="262"/>
      <c r="BK61" s="262"/>
      <c r="BL61" s="262"/>
      <c r="BM61" s="262" t="s">
        <v>169</v>
      </c>
      <c r="BN61" s="262" t="s">
        <v>169</v>
      </c>
      <c r="BO61" s="265" t="s">
        <v>169</v>
      </c>
      <c r="BP61" s="265" t="s">
        <v>169</v>
      </c>
      <c r="BQ61" s="256" t="s">
        <v>2477</v>
      </c>
      <c r="BR61" s="262">
        <v>1</v>
      </c>
      <c r="BS61" s="256" t="s">
        <v>169</v>
      </c>
      <c r="BT61" s="262" t="s">
        <v>169</v>
      </c>
      <c r="BU61" s="256"/>
      <c r="BV61" s="256" t="s">
        <v>1886</v>
      </c>
      <c r="BW61" s="256" t="s">
        <v>2548</v>
      </c>
      <c r="BX61" s="262">
        <v>1</v>
      </c>
      <c r="BY61" s="256" t="s">
        <v>149</v>
      </c>
      <c r="BZ61" s="256" t="s">
        <v>169</v>
      </c>
      <c r="CA61" s="256" t="s">
        <v>169</v>
      </c>
      <c r="CB61" s="256" t="s">
        <v>169</v>
      </c>
      <c r="CC61" s="256" t="s">
        <v>169</v>
      </c>
      <c r="CD61" s="256" t="s">
        <v>169</v>
      </c>
      <c r="CE61" s="266">
        <v>1</v>
      </c>
      <c r="CF61" s="266" t="s">
        <v>169</v>
      </c>
      <c r="CG61" s="265" t="s">
        <v>169</v>
      </c>
      <c r="CH61" s="265" t="s">
        <v>2643</v>
      </c>
      <c r="CI61" s="266">
        <v>1</v>
      </c>
      <c r="CJ61" s="266">
        <v>0</v>
      </c>
      <c r="CK61" s="267" t="s">
        <v>169</v>
      </c>
      <c r="CL61" s="265" t="s">
        <v>169</v>
      </c>
      <c r="CM61" s="265" t="s">
        <v>169</v>
      </c>
      <c r="CN61" s="265" t="s">
        <v>169</v>
      </c>
      <c r="CO61" s="265" t="s">
        <v>169</v>
      </c>
      <c r="CP61" s="266" t="s">
        <v>169</v>
      </c>
      <c r="CQ61" s="255"/>
      <c r="CR61" s="255"/>
      <c r="CS61" s="255"/>
      <c r="CT61" s="255"/>
      <c r="CU61" s="255"/>
      <c r="CV61" s="255" t="s">
        <v>324</v>
      </c>
      <c r="CW61" s="255"/>
      <c r="CX61" s="255"/>
      <c r="CY61" s="255"/>
      <c r="CZ61" s="255"/>
      <c r="DA61" s="255"/>
      <c r="DB61" s="255"/>
      <c r="DC61" s="255"/>
      <c r="DD61" s="255"/>
      <c r="DE61" s="255"/>
      <c r="DF61" s="255"/>
      <c r="DG61" s="255"/>
      <c r="DH61" s="255"/>
      <c r="DI61" s="255"/>
      <c r="DJ61" s="255"/>
      <c r="DK61" s="255"/>
      <c r="DL61" s="255">
        <f t="shared" si="1"/>
        <v>0</v>
      </c>
    </row>
    <row r="62" spans="1:116" ht="25.5" x14ac:dyDescent="0.2">
      <c r="A62" s="111"/>
      <c r="B62" s="112" t="s">
        <v>81</v>
      </c>
      <c r="C62" s="113">
        <v>417</v>
      </c>
      <c r="D62" s="131" t="s">
        <v>2</v>
      </c>
      <c r="E62" s="124" t="s">
        <v>480</v>
      </c>
      <c r="F62" s="121" t="s">
        <v>1352</v>
      </c>
      <c r="G62" s="121" t="s">
        <v>2230</v>
      </c>
      <c r="H62" s="121" t="s">
        <v>2593</v>
      </c>
      <c r="I62" s="122" t="s">
        <v>2231</v>
      </c>
      <c r="J62" s="121" t="s">
        <v>2148</v>
      </c>
      <c r="K62" s="124" t="s">
        <v>1186</v>
      </c>
      <c r="L62" s="124" t="s">
        <v>584</v>
      </c>
      <c r="M62" s="113">
        <v>7</v>
      </c>
      <c r="N62" s="113">
        <v>4</v>
      </c>
      <c r="O62" s="113">
        <v>6</v>
      </c>
      <c r="P62" s="113">
        <v>4</v>
      </c>
      <c r="Q62" s="113">
        <v>4</v>
      </c>
      <c r="R62" s="113">
        <v>1</v>
      </c>
      <c r="S62" s="113">
        <v>4</v>
      </c>
      <c r="T62" s="113">
        <v>4</v>
      </c>
      <c r="U62" s="113">
        <v>4</v>
      </c>
      <c r="V62" s="113"/>
      <c r="W62" s="113"/>
      <c r="X62" s="113"/>
      <c r="Y62" s="113"/>
      <c r="Z62" s="113"/>
      <c r="AA62" s="113">
        <v>38</v>
      </c>
      <c r="AB62" s="113">
        <v>128</v>
      </c>
      <c r="AC62" s="125">
        <f t="shared" si="5"/>
        <v>147</v>
      </c>
      <c r="AD62" s="116">
        <v>2.5</v>
      </c>
      <c r="AE62" s="116" t="s">
        <v>1984</v>
      </c>
      <c r="AF62" s="116"/>
      <c r="AG62" s="116"/>
      <c r="AH62" s="114">
        <v>0.25</v>
      </c>
      <c r="AI62" s="116" t="s">
        <v>298</v>
      </c>
      <c r="AJ62" s="116" t="s">
        <v>2042</v>
      </c>
      <c r="AK62" s="114" t="s">
        <v>1748</v>
      </c>
      <c r="AL62" s="114" t="s">
        <v>1105</v>
      </c>
      <c r="AM62" s="114" t="s">
        <v>694</v>
      </c>
      <c r="AN62" s="114">
        <v>0.25</v>
      </c>
      <c r="AO62" s="114">
        <v>0.25</v>
      </c>
      <c r="AP62" s="114">
        <v>0.25</v>
      </c>
      <c r="AQ62" s="114">
        <v>0.25</v>
      </c>
      <c r="AR62" s="114">
        <v>0.25</v>
      </c>
      <c r="AS62" s="114">
        <v>0</v>
      </c>
      <c r="AT62" s="114" t="s">
        <v>952</v>
      </c>
      <c r="AU62" s="113" t="s">
        <v>1456</v>
      </c>
      <c r="AV62" s="116">
        <v>2</v>
      </c>
      <c r="AW62" s="116"/>
      <c r="AX62" s="116"/>
      <c r="AY62" s="116"/>
      <c r="AZ62" s="116"/>
      <c r="BA62" s="116"/>
      <c r="BB62" s="113" t="s">
        <v>2394</v>
      </c>
      <c r="BC62" s="128">
        <v>45737</v>
      </c>
      <c r="BD62" s="113" t="s">
        <v>182</v>
      </c>
      <c r="BE62" s="113" t="s">
        <v>187</v>
      </c>
      <c r="BF62" s="116">
        <v>2.5</v>
      </c>
      <c r="BG62" s="116"/>
      <c r="BH62" s="116"/>
      <c r="BI62" s="116"/>
      <c r="BJ62" s="116"/>
      <c r="BK62" s="116"/>
      <c r="BL62" s="116"/>
      <c r="BM62" s="116">
        <v>2.5</v>
      </c>
      <c r="BN62" s="116">
        <v>2.5</v>
      </c>
      <c r="BO62" s="117" t="s">
        <v>616</v>
      </c>
      <c r="BP62" s="117">
        <v>2.5</v>
      </c>
      <c r="BQ62" s="113" t="s">
        <v>2478</v>
      </c>
      <c r="BR62" s="116">
        <v>2.5</v>
      </c>
      <c r="BS62" s="113" t="s">
        <v>23</v>
      </c>
      <c r="BT62" s="116" t="s">
        <v>169</v>
      </c>
      <c r="BU62" s="113" t="s">
        <v>119</v>
      </c>
      <c r="BV62" s="113" t="s">
        <v>1887</v>
      </c>
      <c r="BW62" s="113" t="s">
        <v>2549</v>
      </c>
      <c r="BX62" s="116">
        <f>AN62*10</f>
        <v>2.5</v>
      </c>
      <c r="BY62" s="113" t="s">
        <v>149</v>
      </c>
      <c r="BZ62" s="113" t="s">
        <v>1364</v>
      </c>
      <c r="CA62" s="113">
        <v>2.5</v>
      </c>
      <c r="CB62" s="113">
        <v>0</v>
      </c>
      <c r="CC62" s="113">
        <v>0</v>
      </c>
      <c r="CD62" s="113">
        <v>0</v>
      </c>
      <c r="CE62" s="118">
        <v>2.5</v>
      </c>
      <c r="CF62" s="118">
        <v>0.2</v>
      </c>
      <c r="CG62" s="117" t="s">
        <v>1011</v>
      </c>
      <c r="CH62" s="117" t="s">
        <v>2643</v>
      </c>
      <c r="CI62" s="118">
        <v>2.5</v>
      </c>
      <c r="CJ62" s="118">
        <v>0</v>
      </c>
      <c r="CK62" s="119">
        <v>2025.0409</v>
      </c>
      <c r="CL62" s="117" t="s">
        <v>23</v>
      </c>
      <c r="CM62" s="117">
        <v>2.5</v>
      </c>
      <c r="CN62" s="117" t="s">
        <v>289</v>
      </c>
      <c r="CO62" s="117">
        <v>2.5</v>
      </c>
      <c r="CP62" s="118" t="s">
        <v>315</v>
      </c>
      <c r="CQ62" s="112" t="s">
        <v>102</v>
      </c>
      <c r="CR62" s="112" t="s">
        <v>1658</v>
      </c>
      <c r="CS62" s="112" t="s">
        <v>1659</v>
      </c>
      <c r="CT62" s="112" t="s">
        <v>995</v>
      </c>
      <c r="CU62" s="112" t="s">
        <v>1712</v>
      </c>
      <c r="CV62" s="112" t="s">
        <v>1702</v>
      </c>
      <c r="CW62" s="112" t="s">
        <v>837</v>
      </c>
      <c r="CX62" s="112" t="s">
        <v>838</v>
      </c>
      <c r="CY62" s="112" t="s">
        <v>539</v>
      </c>
      <c r="CZ62" s="112" t="s">
        <v>839</v>
      </c>
      <c r="DA62" s="112" t="s">
        <v>840</v>
      </c>
      <c r="DB62" s="112"/>
      <c r="DC62" s="112"/>
      <c r="DD62" s="112"/>
      <c r="DE62" s="112"/>
      <c r="DF62" s="112"/>
      <c r="DG62" s="112"/>
      <c r="DH62" s="112"/>
      <c r="DI62" s="112" t="s">
        <v>2291</v>
      </c>
      <c r="DJ62" s="112"/>
      <c r="DK62" s="112"/>
      <c r="DL62" s="112">
        <f t="shared" si="1"/>
        <v>5</v>
      </c>
    </row>
    <row r="63" spans="1:116" s="253" customFormat="1" ht="25.5" x14ac:dyDescent="0.2">
      <c r="A63" s="254"/>
      <c r="B63" s="255" t="s">
        <v>82</v>
      </c>
      <c r="C63" s="256">
        <v>418</v>
      </c>
      <c r="D63" s="274" t="s">
        <v>2348</v>
      </c>
      <c r="E63" s="260" t="s">
        <v>1955</v>
      </c>
      <c r="F63" s="258" t="s">
        <v>1352</v>
      </c>
      <c r="G63" s="258" t="s">
        <v>2230</v>
      </c>
      <c r="H63" s="258"/>
      <c r="I63" s="259" t="s">
        <v>2231</v>
      </c>
      <c r="J63" s="258" t="s">
        <v>2149</v>
      </c>
      <c r="K63" s="260" t="s">
        <v>1803</v>
      </c>
      <c r="L63" s="260" t="s">
        <v>585</v>
      </c>
      <c r="M63" s="256"/>
      <c r="N63" s="256"/>
      <c r="O63" s="256"/>
      <c r="P63" s="256"/>
      <c r="Q63" s="256"/>
      <c r="R63" s="256"/>
      <c r="S63" s="256"/>
      <c r="T63" s="256"/>
      <c r="U63" s="256"/>
      <c r="V63" s="256"/>
      <c r="W63" s="256"/>
      <c r="X63" s="256"/>
      <c r="Y63" s="256"/>
      <c r="Z63" s="256"/>
      <c r="AA63" s="256">
        <f t="shared" si="7"/>
        <v>0</v>
      </c>
      <c r="AB63" s="256"/>
      <c r="AC63" s="261">
        <f t="shared" si="5"/>
        <v>0</v>
      </c>
      <c r="AD63" s="262">
        <v>1.5</v>
      </c>
      <c r="AE63" s="262"/>
      <c r="AF63" s="262"/>
      <c r="AG63" s="262"/>
      <c r="AH63" s="263"/>
      <c r="AI63" s="262"/>
      <c r="AJ63" s="262"/>
      <c r="AK63" s="263"/>
      <c r="AL63" s="263" t="s">
        <v>1809</v>
      </c>
      <c r="AM63" s="263" t="s">
        <v>1808</v>
      </c>
      <c r="AN63" s="263"/>
      <c r="AO63" s="263"/>
      <c r="AP63" s="263"/>
      <c r="AQ63" s="263"/>
      <c r="AR63" s="263"/>
      <c r="AS63" s="263"/>
      <c r="AT63" s="263" t="s">
        <v>952</v>
      </c>
      <c r="AU63" s="256" t="s">
        <v>2221</v>
      </c>
      <c r="AV63" s="261">
        <v>0</v>
      </c>
      <c r="AW63" s="262"/>
      <c r="AX63" s="262"/>
      <c r="AY63" s="262"/>
      <c r="AZ63" s="262"/>
      <c r="BA63" s="262"/>
      <c r="BB63" s="256" t="s">
        <v>2221</v>
      </c>
      <c r="BC63" s="256"/>
      <c r="BD63" s="256"/>
      <c r="BE63" s="256"/>
      <c r="BF63" s="262"/>
      <c r="BG63" s="262"/>
      <c r="BH63" s="262"/>
      <c r="BI63" s="262"/>
      <c r="BJ63" s="262"/>
      <c r="BK63" s="262"/>
      <c r="BL63" s="262"/>
      <c r="BM63" s="262" t="s">
        <v>169</v>
      </c>
      <c r="BN63" s="262" t="s">
        <v>169</v>
      </c>
      <c r="BO63" s="265"/>
      <c r="BP63" s="265"/>
      <c r="BQ63" s="271" t="s">
        <v>2479</v>
      </c>
      <c r="BR63" s="262">
        <v>1.5</v>
      </c>
      <c r="BS63" s="256"/>
      <c r="BT63" s="262" t="s">
        <v>169</v>
      </c>
      <c r="BU63" s="256"/>
      <c r="BV63" s="256" t="s">
        <v>1888</v>
      </c>
      <c r="BW63" s="256" t="s">
        <v>2550</v>
      </c>
      <c r="BX63" s="262">
        <v>1.5</v>
      </c>
      <c r="BY63" s="256" t="s">
        <v>149</v>
      </c>
      <c r="BZ63" s="256" t="s">
        <v>169</v>
      </c>
      <c r="CA63" s="256" t="s">
        <v>169</v>
      </c>
      <c r="CB63" s="256" t="s">
        <v>169</v>
      </c>
      <c r="CC63" s="256" t="s">
        <v>169</v>
      </c>
      <c r="CD63" s="256" t="s">
        <v>169</v>
      </c>
      <c r="CE63" s="266"/>
      <c r="CF63" s="266" t="s">
        <v>169</v>
      </c>
      <c r="CG63" s="265" t="s">
        <v>169</v>
      </c>
      <c r="CH63" s="265" t="s">
        <v>2643</v>
      </c>
      <c r="CI63" s="266">
        <v>1.5</v>
      </c>
      <c r="CJ63" s="266">
        <v>0</v>
      </c>
      <c r="CK63" s="267">
        <v>2025.0409999999999</v>
      </c>
      <c r="CL63" s="266" t="s">
        <v>1466</v>
      </c>
      <c r="CM63" s="265">
        <v>1.5</v>
      </c>
      <c r="CN63" s="265" t="s">
        <v>289</v>
      </c>
      <c r="CO63" s="265">
        <v>1.5</v>
      </c>
      <c r="CP63" s="266" t="s">
        <v>290</v>
      </c>
      <c r="CQ63" s="260"/>
      <c r="CR63" s="260"/>
      <c r="CS63" s="260"/>
      <c r="CT63" s="260"/>
      <c r="CU63" s="260"/>
      <c r="CV63" s="260" t="s">
        <v>324</v>
      </c>
      <c r="CW63" s="255"/>
      <c r="CX63" s="255"/>
      <c r="CY63" s="255"/>
      <c r="CZ63" s="255"/>
      <c r="DA63" s="255"/>
      <c r="DB63" s="255"/>
      <c r="DC63" s="255"/>
      <c r="DD63" s="255"/>
      <c r="DE63" s="255"/>
      <c r="DF63" s="255"/>
      <c r="DG63" s="255"/>
      <c r="DH63" s="255"/>
      <c r="DI63" s="255"/>
      <c r="DJ63" s="255"/>
      <c r="DK63" s="255"/>
      <c r="DL63" s="255">
        <f t="shared" si="1"/>
        <v>0</v>
      </c>
    </row>
    <row r="64" spans="1:116" ht="25.5" x14ac:dyDescent="0.2">
      <c r="A64" s="111"/>
      <c r="B64" s="112" t="s">
        <v>83</v>
      </c>
      <c r="C64" s="113">
        <v>419</v>
      </c>
      <c r="D64" s="131" t="s">
        <v>12</v>
      </c>
      <c r="E64" s="124" t="s">
        <v>480</v>
      </c>
      <c r="F64" s="121" t="s">
        <v>1352</v>
      </c>
      <c r="G64" s="121" t="s">
        <v>2230</v>
      </c>
      <c r="H64" s="121" t="s">
        <v>2593</v>
      </c>
      <c r="I64" s="122" t="s">
        <v>2231</v>
      </c>
      <c r="J64" s="121" t="s">
        <v>2150</v>
      </c>
      <c r="K64" s="124" t="s">
        <v>1204</v>
      </c>
      <c r="L64" s="124" t="s">
        <v>586</v>
      </c>
      <c r="M64" s="113">
        <v>4</v>
      </c>
      <c r="N64" s="113">
        <v>5</v>
      </c>
      <c r="O64" s="113">
        <v>1</v>
      </c>
      <c r="P64" s="113">
        <v>2</v>
      </c>
      <c r="Q64" s="113">
        <v>4</v>
      </c>
      <c r="R64" s="113"/>
      <c r="S64" s="113"/>
      <c r="T64" s="113"/>
      <c r="U64" s="113"/>
      <c r="V64" s="113"/>
      <c r="W64" s="113"/>
      <c r="X64" s="113"/>
      <c r="Y64" s="113"/>
      <c r="Z64" s="113"/>
      <c r="AA64" s="113">
        <v>16</v>
      </c>
      <c r="AB64" s="113">
        <v>77</v>
      </c>
      <c r="AC64" s="125">
        <f t="shared" si="5"/>
        <v>85</v>
      </c>
      <c r="AD64" s="116">
        <v>1.5</v>
      </c>
      <c r="AE64" s="116"/>
      <c r="AF64" s="116"/>
      <c r="AG64" s="116"/>
      <c r="AH64" s="114">
        <v>0.15</v>
      </c>
      <c r="AI64" s="116" t="s">
        <v>298</v>
      </c>
      <c r="AJ64" s="116" t="s">
        <v>2043</v>
      </c>
      <c r="AK64" s="114" t="s">
        <v>1749</v>
      </c>
      <c r="AL64" s="114" t="s">
        <v>1274</v>
      </c>
      <c r="AM64" s="114" t="s">
        <v>720</v>
      </c>
      <c r="AN64" s="114">
        <v>0.15</v>
      </c>
      <c r="AO64" s="114">
        <v>0</v>
      </c>
      <c r="AP64" s="114">
        <v>0.15</v>
      </c>
      <c r="AQ64" s="114">
        <v>0</v>
      </c>
      <c r="AR64" s="114">
        <v>0</v>
      </c>
      <c r="AS64" s="114">
        <v>0</v>
      </c>
      <c r="AT64" s="114" t="s">
        <v>952</v>
      </c>
      <c r="AU64" s="113" t="s">
        <v>1457</v>
      </c>
      <c r="AV64" s="116">
        <v>1.5</v>
      </c>
      <c r="AW64" s="116"/>
      <c r="AX64" s="116"/>
      <c r="AY64" s="116"/>
      <c r="AZ64" s="116"/>
      <c r="BA64" s="116"/>
      <c r="BB64" s="113" t="s">
        <v>2221</v>
      </c>
      <c r="BC64" s="113"/>
      <c r="BD64" s="113"/>
      <c r="BE64" s="113"/>
      <c r="BF64" s="116"/>
      <c r="BG64" s="116"/>
      <c r="BH64" s="116"/>
      <c r="BI64" s="116"/>
      <c r="BJ64" s="116"/>
      <c r="BK64" s="116"/>
      <c r="BL64" s="116"/>
      <c r="BM64" s="116">
        <v>1.5</v>
      </c>
      <c r="BN64" s="116">
        <v>0</v>
      </c>
      <c r="BO64" s="117" t="s">
        <v>614</v>
      </c>
      <c r="BP64" s="117">
        <v>1.5</v>
      </c>
      <c r="BQ64" s="113" t="s">
        <v>2480</v>
      </c>
      <c r="BR64" s="116">
        <v>1.5</v>
      </c>
      <c r="BS64" s="113" t="s">
        <v>23</v>
      </c>
      <c r="BT64" s="116" t="s">
        <v>169</v>
      </c>
      <c r="BU64" s="113" t="s">
        <v>130</v>
      </c>
      <c r="BV64" s="113" t="s">
        <v>1915</v>
      </c>
      <c r="BW64" s="113" t="s">
        <v>2551</v>
      </c>
      <c r="BX64" s="116">
        <f>AN64*10</f>
        <v>1.5</v>
      </c>
      <c r="BY64" s="113" t="s">
        <v>149</v>
      </c>
      <c r="BZ64" s="113" t="s">
        <v>1365</v>
      </c>
      <c r="CA64" s="113">
        <v>1.5</v>
      </c>
      <c r="CB64" s="113">
        <v>0</v>
      </c>
      <c r="CC64" s="113">
        <v>0</v>
      </c>
      <c r="CD64" s="113">
        <v>0</v>
      </c>
      <c r="CE64" s="118">
        <v>1.5</v>
      </c>
      <c r="CF64" s="118">
        <v>0.1</v>
      </c>
      <c r="CG64" s="117" t="s">
        <v>1044</v>
      </c>
      <c r="CH64" s="117" t="s">
        <v>2643</v>
      </c>
      <c r="CI64" s="118">
        <v>1.5</v>
      </c>
      <c r="CJ64" s="118">
        <v>0</v>
      </c>
      <c r="CK64" s="119">
        <v>2025.0410999999999</v>
      </c>
      <c r="CL64" s="118" t="s">
        <v>23</v>
      </c>
      <c r="CM64" s="117">
        <v>1.5</v>
      </c>
      <c r="CN64" s="117" t="s">
        <v>289</v>
      </c>
      <c r="CO64" s="117">
        <v>1.5</v>
      </c>
      <c r="CP64" s="118" t="s">
        <v>289</v>
      </c>
      <c r="CQ64" s="124" t="s">
        <v>103</v>
      </c>
      <c r="CR64" s="124" t="s">
        <v>1656</v>
      </c>
      <c r="CS64" s="124" t="s">
        <v>1657</v>
      </c>
      <c r="CT64" s="124" t="s">
        <v>1617</v>
      </c>
      <c r="CU64" s="124" t="s">
        <v>1714</v>
      </c>
      <c r="CV64" s="124" t="s">
        <v>324</v>
      </c>
      <c r="CW64" s="112" t="s">
        <v>841</v>
      </c>
      <c r="CX64" s="112" t="s">
        <v>842</v>
      </c>
      <c r="CY64" s="112" t="s">
        <v>843</v>
      </c>
      <c r="CZ64" s="112" t="s">
        <v>844</v>
      </c>
      <c r="DA64" s="112" t="s">
        <v>845</v>
      </c>
      <c r="DB64" s="112"/>
      <c r="DC64" s="112"/>
      <c r="DD64" s="112"/>
      <c r="DE64" s="112"/>
      <c r="DF64" s="112"/>
      <c r="DG64" s="112"/>
      <c r="DH64" s="112"/>
      <c r="DI64" s="112" t="s">
        <v>2281</v>
      </c>
      <c r="DJ64" s="112"/>
      <c r="DK64" s="112"/>
      <c r="DL64" s="112">
        <f t="shared" si="1"/>
        <v>5</v>
      </c>
    </row>
    <row r="65" spans="1:116" s="253" customFormat="1" ht="25.5" x14ac:dyDescent="0.2">
      <c r="A65" s="254"/>
      <c r="B65" s="255" t="s">
        <v>84</v>
      </c>
      <c r="C65" s="256">
        <v>420</v>
      </c>
      <c r="D65" s="274" t="s">
        <v>10</v>
      </c>
      <c r="E65" s="260" t="s">
        <v>480</v>
      </c>
      <c r="F65" s="258" t="s">
        <v>1352</v>
      </c>
      <c r="G65" s="258" t="s">
        <v>2230</v>
      </c>
      <c r="H65" s="258" t="s">
        <v>2593</v>
      </c>
      <c r="I65" s="259" t="s">
        <v>2231</v>
      </c>
      <c r="J65" s="258" t="s">
        <v>2151</v>
      </c>
      <c r="K65" s="260" t="s">
        <v>1195</v>
      </c>
      <c r="L65" s="260" t="s">
        <v>587</v>
      </c>
      <c r="M65" s="256">
        <v>1</v>
      </c>
      <c r="N65" s="256">
        <v>4</v>
      </c>
      <c r="O65" s="256">
        <v>4</v>
      </c>
      <c r="P65" s="256">
        <v>1</v>
      </c>
      <c r="Q65" s="256">
        <v>1</v>
      </c>
      <c r="R65" s="256">
        <v>1</v>
      </c>
      <c r="S65" s="256">
        <v>4</v>
      </c>
      <c r="T65" s="256">
        <v>4</v>
      </c>
      <c r="U65" s="256">
        <v>4</v>
      </c>
      <c r="V65" s="256">
        <v>1</v>
      </c>
      <c r="W65" s="256">
        <v>1</v>
      </c>
      <c r="X65" s="256"/>
      <c r="Y65" s="256"/>
      <c r="Z65" s="256"/>
      <c r="AA65" s="256">
        <v>26</v>
      </c>
      <c r="AB65" s="256">
        <v>122</v>
      </c>
      <c r="AC65" s="261">
        <f t="shared" si="5"/>
        <v>135</v>
      </c>
      <c r="AD65" s="262">
        <v>3</v>
      </c>
      <c r="AE65" s="262" t="s">
        <v>2612</v>
      </c>
      <c r="AF65" s="262"/>
      <c r="AG65" s="262"/>
      <c r="AH65" s="263">
        <v>0.3</v>
      </c>
      <c r="AI65" s="262" t="s">
        <v>298</v>
      </c>
      <c r="AJ65" s="262" t="s">
        <v>2044</v>
      </c>
      <c r="AK65" s="263" t="s">
        <v>1827</v>
      </c>
      <c r="AL65" s="263" t="s">
        <v>1249</v>
      </c>
      <c r="AM65" s="263" t="s">
        <v>693</v>
      </c>
      <c r="AN65" s="263">
        <v>0.3</v>
      </c>
      <c r="AO65" s="263">
        <v>0</v>
      </c>
      <c r="AP65" s="263">
        <v>0.3</v>
      </c>
      <c r="AQ65" s="263">
        <v>0.3</v>
      </c>
      <c r="AR65" s="263">
        <v>0</v>
      </c>
      <c r="AS65" s="263">
        <v>0</v>
      </c>
      <c r="AT65" s="263" t="s">
        <v>952</v>
      </c>
      <c r="AU65" s="256" t="s">
        <v>1458</v>
      </c>
      <c r="AV65" s="262">
        <v>2.5</v>
      </c>
      <c r="AW65" s="262"/>
      <c r="AX65" s="262"/>
      <c r="AY65" s="262"/>
      <c r="AZ65" s="262"/>
      <c r="BA65" s="262"/>
      <c r="BB65" s="256" t="s">
        <v>2395</v>
      </c>
      <c r="BC65" s="264">
        <v>45737</v>
      </c>
      <c r="BD65" s="256" t="s">
        <v>2351</v>
      </c>
      <c r="BE65" s="256" t="s">
        <v>187</v>
      </c>
      <c r="BF65" s="262">
        <v>3</v>
      </c>
      <c r="BG65" s="262"/>
      <c r="BH65" s="262"/>
      <c r="BI65" s="262"/>
      <c r="BJ65" s="262"/>
      <c r="BK65" s="262"/>
      <c r="BL65" s="262"/>
      <c r="BM65" s="262">
        <v>3</v>
      </c>
      <c r="BN65" s="262">
        <v>0</v>
      </c>
      <c r="BO65" s="265" t="s">
        <v>615</v>
      </c>
      <c r="BP65" s="265">
        <v>2</v>
      </c>
      <c r="BQ65" s="256" t="s">
        <v>2481</v>
      </c>
      <c r="BR65" s="262">
        <v>3</v>
      </c>
      <c r="BS65" s="256" t="s">
        <v>23</v>
      </c>
      <c r="BT65" s="262" t="s">
        <v>169</v>
      </c>
      <c r="BU65" s="256" t="s">
        <v>113</v>
      </c>
      <c r="BV65" s="256" t="s">
        <v>1889</v>
      </c>
      <c r="BW65" s="256" t="s">
        <v>2552</v>
      </c>
      <c r="BX65" s="262">
        <f>AN65*10</f>
        <v>3</v>
      </c>
      <c r="BY65" s="256" t="s">
        <v>158</v>
      </c>
      <c r="BZ65" s="256" t="s">
        <v>1366</v>
      </c>
      <c r="CA65" s="256">
        <v>3</v>
      </c>
      <c r="CB65" s="256">
        <v>0</v>
      </c>
      <c r="CC65" s="256">
        <v>0</v>
      </c>
      <c r="CD65" s="256">
        <v>0</v>
      </c>
      <c r="CE65" s="266">
        <v>3</v>
      </c>
      <c r="CF65" s="266">
        <v>0.2</v>
      </c>
      <c r="CG65" s="265" t="s">
        <v>1045</v>
      </c>
      <c r="CH65" s="265" t="s">
        <v>2643</v>
      </c>
      <c r="CI65" s="266">
        <v>3</v>
      </c>
      <c r="CJ65" s="266">
        <v>0</v>
      </c>
      <c r="CK65" s="267">
        <v>2025.0411999999999</v>
      </c>
      <c r="CL65" s="265" t="s">
        <v>23</v>
      </c>
      <c r="CM65" s="265">
        <v>3</v>
      </c>
      <c r="CN65" s="265" t="s">
        <v>289</v>
      </c>
      <c r="CO65" s="265">
        <v>3</v>
      </c>
      <c r="CP65" s="266" t="s">
        <v>315</v>
      </c>
      <c r="CQ65" s="255" t="s">
        <v>1196</v>
      </c>
      <c r="CR65" s="255" t="s">
        <v>1654</v>
      </c>
      <c r="CS65" s="255" t="s">
        <v>1655</v>
      </c>
      <c r="CT65" s="255" t="s">
        <v>996</v>
      </c>
      <c r="CU65" s="255" t="s">
        <v>1714</v>
      </c>
      <c r="CV65" s="255" t="s">
        <v>324</v>
      </c>
      <c r="CW65" s="255" t="s">
        <v>846</v>
      </c>
      <c r="CX65" s="255" t="s">
        <v>847</v>
      </c>
      <c r="CY65" s="255" t="s">
        <v>848</v>
      </c>
      <c r="CZ65" s="255" t="s">
        <v>849</v>
      </c>
      <c r="DA65" s="255" t="s">
        <v>850</v>
      </c>
      <c r="DB65" s="255" t="s">
        <v>851</v>
      </c>
      <c r="DC65" s="255" t="s">
        <v>852</v>
      </c>
      <c r="DD65" s="255"/>
      <c r="DE65" s="255"/>
      <c r="DF65" s="255"/>
      <c r="DG65" s="255"/>
      <c r="DH65" s="255"/>
      <c r="DI65" s="255" t="s">
        <v>2281</v>
      </c>
      <c r="DJ65" s="255"/>
      <c r="DK65" s="255"/>
      <c r="DL65" s="255">
        <f t="shared" si="1"/>
        <v>7</v>
      </c>
    </row>
    <row r="66" spans="1:116" ht="25.5" x14ac:dyDescent="0.2">
      <c r="A66" s="111"/>
      <c r="B66" s="112" t="s">
        <v>85</v>
      </c>
      <c r="C66" s="113">
        <v>421</v>
      </c>
      <c r="D66" s="131" t="s">
        <v>11</v>
      </c>
      <c r="E66" s="124" t="s">
        <v>480</v>
      </c>
      <c r="F66" s="121" t="s">
        <v>1352</v>
      </c>
      <c r="G66" s="121" t="s">
        <v>2230</v>
      </c>
      <c r="H66" s="121" t="s">
        <v>2593</v>
      </c>
      <c r="I66" s="122" t="s">
        <v>2231</v>
      </c>
      <c r="J66" s="121" t="s">
        <v>2152</v>
      </c>
      <c r="K66" s="124" t="s">
        <v>1197</v>
      </c>
      <c r="L66" s="124" t="s">
        <v>588</v>
      </c>
      <c r="M66" s="113">
        <v>4</v>
      </c>
      <c r="N66" s="113">
        <v>5</v>
      </c>
      <c r="O66" s="113">
        <v>4</v>
      </c>
      <c r="P66" s="113">
        <v>4</v>
      </c>
      <c r="Q66" s="113">
        <v>4</v>
      </c>
      <c r="R66" s="113"/>
      <c r="S66" s="113"/>
      <c r="T66" s="113"/>
      <c r="U66" s="113"/>
      <c r="V66" s="113"/>
      <c r="W66" s="113"/>
      <c r="X66" s="113"/>
      <c r="Y66" s="113"/>
      <c r="Z66" s="113"/>
      <c r="AA66" s="113">
        <v>21</v>
      </c>
      <c r="AB66" s="113">
        <v>94</v>
      </c>
      <c r="AC66" s="125">
        <f t="shared" si="5"/>
        <v>104.5</v>
      </c>
      <c r="AD66" s="116">
        <v>2</v>
      </c>
      <c r="AE66" s="116"/>
      <c r="AF66" s="116"/>
      <c r="AG66" s="116"/>
      <c r="AH66" s="114">
        <v>0.2</v>
      </c>
      <c r="AI66" s="116" t="s">
        <v>298</v>
      </c>
      <c r="AJ66" s="116" t="s">
        <v>2045</v>
      </c>
      <c r="AK66" s="114" t="s">
        <v>1750</v>
      </c>
      <c r="AL66" s="114" t="s">
        <v>1250</v>
      </c>
      <c r="AM66" s="114" t="s">
        <v>692</v>
      </c>
      <c r="AN66" s="114">
        <v>0.2</v>
      </c>
      <c r="AO66" s="114">
        <v>0.2</v>
      </c>
      <c r="AP66" s="114">
        <v>0.2</v>
      </c>
      <c r="AQ66" s="114">
        <v>0.2</v>
      </c>
      <c r="AR66" s="114">
        <v>0</v>
      </c>
      <c r="AS66" s="114">
        <v>0</v>
      </c>
      <c r="AT66" s="114" t="s">
        <v>952</v>
      </c>
      <c r="AU66" s="113" t="s">
        <v>1413</v>
      </c>
      <c r="AV66" s="116">
        <v>2</v>
      </c>
      <c r="AW66" s="116"/>
      <c r="AX66" s="116"/>
      <c r="AY66" s="116"/>
      <c r="AZ66" s="116"/>
      <c r="BA66" s="116"/>
      <c r="BB66" s="113" t="s">
        <v>2396</v>
      </c>
      <c r="BC66" s="128">
        <v>45737</v>
      </c>
      <c r="BD66" s="113" t="s">
        <v>196</v>
      </c>
      <c r="BE66" s="113" t="s">
        <v>187</v>
      </c>
      <c r="BF66" s="116">
        <v>2</v>
      </c>
      <c r="BG66" s="116"/>
      <c r="BH66" s="116"/>
      <c r="BI66" s="116"/>
      <c r="BJ66" s="116"/>
      <c r="BK66" s="116"/>
      <c r="BL66" s="116"/>
      <c r="BM66" s="116">
        <v>2</v>
      </c>
      <c r="BN66" s="116">
        <v>2</v>
      </c>
      <c r="BO66" s="117" t="s">
        <v>615</v>
      </c>
      <c r="BP66" s="117">
        <v>2</v>
      </c>
      <c r="BQ66" s="130" t="s">
        <v>2482</v>
      </c>
      <c r="BR66" s="116">
        <v>2</v>
      </c>
      <c r="BS66" s="113" t="s">
        <v>23</v>
      </c>
      <c r="BT66" s="116" t="s">
        <v>169</v>
      </c>
      <c r="BU66" s="113" t="s">
        <v>115</v>
      </c>
      <c r="BV66" s="113" t="s">
        <v>1890</v>
      </c>
      <c r="BW66" s="113" t="s">
        <v>2553</v>
      </c>
      <c r="BX66" s="116">
        <v>2</v>
      </c>
      <c r="BY66" s="113" t="s">
        <v>149</v>
      </c>
      <c r="BZ66" s="113" t="s">
        <v>1367</v>
      </c>
      <c r="CA66" s="113">
        <v>2</v>
      </c>
      <c r="CB66" s="113">
        <v>0</v>
      </c>
      <c r="CC66" s="113">
        <v>0</v>
      </c>
      <c r="CD66" s="113">
        <v>0</v>
      </c>
      <c r="CE66" s="118">
        <v>2</v>
      </c>
      <c r="CF66" s="118">
        <v>0.2</v>
      </c>
      <c r="CG66" s="117" t="s">
        <v>1046</v>
      </c>
      <c r="CH66" s="117" t="s">
        <v>2643</v>
      </c>
      <c r="CI66" s="118">
        <v>2</v>
      </c>
      <c r="CJ66" s="118">
        <v>0</v>
      </c>
      <c r="CK66" s="119">
        <v>2025.0413000000001</v>
      </c>
      <c r="CL66" s="117" t="s">
        <v>23</v>
      </c>
      <c r="CM66" s="117">
        <v>2</v>
      </c>
      <c r="CN66" s="117" t="s">
        <v>289</v>
      </c>
      <c r="CO66" s="117">
        <v>2</v>
      </c>
      <c r="CP66" s="118" t="s">
        <v>315</v>
      </c>
      <c r="CQ66" s="112" t="s">
        <v>27</v>
      </c>
      <c r="CR66" s="112" t="s">
        <v>1652</v>
      </c>
      <c r="CS66" s="112" t="s">
        <v>1653</v>
      </c>
      <c r="CT66" s="112" t="s">
        <v>997</v>
      </c>
      <c r="CU66" s="112" t="s">
        <v>1712</v>
      </c>
      <c r="CV66" s="112" t="s">
        <v>324</v>
      </c>
      <c r="CW66" s="112" t="s">
        <v>853</v>
      </c>
      <c r="CX66" s="112" t="s">
        <v>854</v>
      </c>
      <c r="CY66" s="112" t="s">
        <v>855</v>
      </c>
      <c r="CZ66" s="112" t="s">
        <v>856</v>
      </c>
      <c r="DA66" s="112" t="s">
        <v>857</v>
      </c>
      <c r="DB66" s="112"/>
      <c r="DC66" s="112"/>
      <c r="DD66" s="112"/>
      <c r="DE66" s="112"/>
      <c r="DF66" s="112"/>
      <c r="DG66" s="112"/>
      <c r="DH66" s="112"/>
      <c r="DI66" s="112" t="s">
        <v>2281</v>
      </c>
      <c r="DJ66" s="112"/>
      <c r="DK66" s="112"/>
      <c r="DL66" s="112">
        <f t="shared" si="1"/>
        <v>5</v>
      </c>
    </row>
    <row r="67" spans="1:116" s="253" customFormat="1" ht="26.25" x14ac:dyDescent="0.25">
      <c r="A67" s="254"/>
      <c r="B67" s="255" t="s">
        <v>86</v>
      </c>
      <c r="C67" s="256">
        <v>422</v>
      </c>
      <c r="D67" s="274" t="s">
        <v>155</v>
      </c>
      <c r="E67" s="260" t="s">
        <v>166</v>
      </c>
      <c r="F67" s="260" t="s">
        <v>1357</v>
      </c>
      <c r="G67" s="260" t="s">
        <v>2252</v>
      </c>
      <c r="H67" s="277" t="s">
        <v>2601</v>
      </c>
      <c r="I67" s="256" t="s">
        <v>2253</v>
      </c>
      <c r="J67" s="260" t="s">
        <v>2153</v>
      </c>
      <c r="K67" s="260" t="s">
        <v>1187</v>
      </c>
      <c r="L67" s="260" t="s">
        <v>589</v>
      </c>
      <c r="M67" s="256">
        <v>5</v>
      </c>
      <c r="N67" s="256">
        <v>5</v>
      </c>
      <c r="O67" s="256">
        <v>6</v>
      </c>
      <c r="P67" s="256">
        <v>4</v>
      </c>
      <c r="Q67" s="256">
        <v>1</v>
      </c>
      <c r="R67" s="256">
        <v>9</v>
      </c>
      <c r="S67" s="256"/>
      <c r="T67" s="256"/>
      <c r="U67" s="256"/>
      <c r="V67" s="256"/>
      <c r="W67" s="256"/>
      <c r="X67" s="256"/>
      <c r="Y67" s="256"/>
      <c r="Z67" s="256"/>
      <c r="AA67" s="256">
        <v>30</v>
      </c>
      <c r="AB67" s="256">
        <v>92</v>
      </c>
      <c r="AC67" s="261">
        <f t="shared" si="5"/>
        <v>107</v>
      </c>
      <c r="AD67" s="262">
        <v>2</v>
      </c>
      <c r="AE67" s="262"/>
      <c r="AF67" s="262"/>
      <c r="AG67" s="262"/>
      <c r="AH67" s="263">
        <v>0.2</v>
      </c>
      <c r="AI67" s="262" t="s">
        <v>298</v>
      </c>
      <c r="AJ67" s="262" t="s">
        <v>2046</v>
      </c>
      <c r="AK67" s="263" t="s">
        <v>1751</v>
      </c>
      <c r="AL67" s="263" t="s">
        <v>1106</v>
      </c>
      <c r="AM67" s="263" t="s">
        <v>691</v>
      </c>
      <c r="AN67" s="263">
        <v>0.2</v>
      </c>
      <c r="AO67" s="263">
        <v>0.2</v>
      </c>
      <c r="AP67" s="263">
        <v>0.2</v>
      </c>
      <c r="AQ67" s="263">
        <v>0.2</v>
      </c>
      <c r="AR67" s="263">
        <v>0</v>
      </c>
      <c r="AS67" s="263">
        <v>0</v>
      </c>
      <c r="AT67" s="263" t="s">
        <v>952</v>
      </c>
      <c r="AU67" s="256" t="s">
        <v>1414</v>
      </c>
      <c r="AV67" s="262">
        <v>2</v>
      </c>
      <c r="AW67" s="262"/>
      <c r="AX67" s="262"/>
      <c r="AY67" s="262"/>
      <c r="AZ67" s="262"/>
      <c r="BA67" s="262"/>
      <c r="BB67" s="256" t="s">
        <v>2397</v>
      </c>
      <c r="BC67" s="264">
        <v>45737</v>
      </c>
      <c r="BD67" s="256" t="s">
        <v>196</v>
      </c>
      <c r="BE67" s="256" t="s">
        <v>187</v>
      </c>
      <c r="BF67" s="262">
        <v>2</v>
      </c>
      <c r="BG67" s="262"/>
      <c r="BH67" s="262"/>
      <c r="BI67" s="262"/>
      <c r="BJ67" s="262"/>
      <c r="BK67" s="262"/>
      <c r="BL67" s="262"/>
      <c r="BM67" s="262">
        <v>2</v>
      </c>
      <c r="BN67" s="262">
        <v>2</v>
      </c>
      <c r="BO67" s="265" t="s">
        <v>615</v>
      </c>
      <c r="BP67" s="265">
        <v>2</v>
      </c>
      <c r="BQ67" s="256" t="s">
        <v>2483</v>
      </c>
      <c r="BR67" s="262">
        <v>2</v>
      </c>
      <c r="BS67" s="256" t="s">
        <v>23</v>
      </c>
      <c r="BT67" s="262" t="s">
        <v>169</v>
      </c>
      <c r="BU67" s="256" t="s">
        <v>117</v>
      </c>
      <c r="BV67" s="256" t="s">
        <v>1891</v>
      </c>
      <c r="BW67" s="256" t="s">
        <v>2554</v>
      </c>
      <c r="BX67" s="262">
        <f>AN67*10</f>
        <v>2</v>
      </c>
      <c r="BY67" s="256" t="s">
        <v>158</v>
      </c>
      <c r="BZ67" s="256" t="s">
        <v>1368</v>
      </c>
      <c r="CA67" s="256">
        <v>2</v>
      </c>
      <c r="CB67" s="256">
        <v>0</v>
      </c>
      <c r="CC67" s="256">
        <v>0</v>
      </c>
      <c r="CD67" s="256">
        <v>0</v>
      </c>
      <c r="CE67" s="266">
        <v>2</v>
      </c>
      <c r="CF67" s="266">
        <v>0.2</v>
      </c>
      <c r="CG67" s="265" t="s">
        <v>1047</v>
      </c>
      <c r="CH67" s="265" t="s">
        <v>2643</v>
      </c>
      <c r="CI67" s="266">
        <v>2</v>
      </c>
      <c r="CJ67" s="266">
        <v>0</v>
      </c>
      <c r="CK67" s="267">
        <v>2025.0414000000001</v>
      </c>
      <c r="CL67" s="265" t="s">
        <v>23</v>
      </c>
      <c r="CM67" s="265">
        <v>2</v>
      </c>
      <c r="CN67" s="265" t="s">
        <v>289</v>
      </c>
      <c r="CO67" s="265">
        <v>2</v>
      </c>
      <c r="CP67" s="266" t="s">
        <v>315</v>
      </c>
      <c r="CQ67" s="255" t="s">
        <v>28</v>
      </c>
      <c r="CR67" s="255" t="s">
        <v>1650</v>
      </c>
      <c r="CS67" s="255" t="s">
        <v>1651</v>
      </c>
      <c r="CT67" s="255" t="s">
        <v>998</v>
      </c>
      <c r="CU67" s="255" t="s">
        <v>1714</v>
      </c>
      <c r="CV67" s="255" t="s">
        <v>324</v>
      </c>
      <c r="CW67" s="255" t="s">
        <v>858</v>
      </c>
      <c r="CX67" s="255" t="s">
        <v>859</v>
      </c>
      <c r="CY67" s="255" t="s">
        <v>860</v>
      </c>
      <c r="CZ67" s="255" t="s">
        <v>861</v>
      </c>
      <c r="DA67" s="255" t="s">
        <v>862</v>
      </c>
      <c r="DB67" s="255" t="s">
        <v>863</v>
      </c>
      <c r="DC67" s="255" t="s">
        <v>864</v>
      </c>
      <c r="DD67" s="255"/>
      <c r="DE67" s="255"/>
      <c r="DF67" s="255"/>
      <c r="DG67" s="255"/>
      <c r="DH67" s="255"/>
      <c r="DI67" s="255" t="s">
        <v>2281</v>
      </c>
      <c r="DJ67" s="255"/>
      <c r="DK67" s="255"/>
      <c r="DL67" s="255">
        <f t="shared" si="1"/>
        <v>7</v>
      </c>
    </row>
    <row r="68" spans="1:116" ht="26.25" x14ac:dyDescent="0.25">
      <c r="A68" s="111"/>
      <c r="B68" s="112" t="s">
        <v>1930</v>
      </c>
      <c r="C68" s="113"/>
      <c r="D68" s="131" t="s">
        <v>1933</v>
      </c>
      <c r="E68" s="124" t="s">
        <v>166</v>
      </c>
      <c r="F68" s="124" t="s">
        <v>1357</v>
      </c>
      <c r="G68" s="124" t="s">
        <v>2252</v>
      </c>
      <c r="H68" s="123" t="s">
        <v>2601</v>
      </c>
      <c r="I68" s="113" t="s">
        <v>2253</v>
      </c>
      <c r="J68" s="124" t="s">
        <v>2154</v>
      </c>
      <c r="K68" s="124"/>
      <c r="L68" s="124"/>
      <c r="M68" s="113">
        <v>7</v>
      </c>
      <c r="N68" s="113">
        <v>5</v>
      </c>
      <c r="O68" s="113">
        <v>8</v>
      </c>
      <c r="P68" s="113">
        <v>5</v>
      </c>
      <c r="Q68" s="113">
        <v>5</v>
      </c>
      <c r="R68" s="113">
        <v>4</v>
      </c>
      <c r="S68" s="113">
        <v>5</v>
      </c>
      <c r="T68" s="113">
        <v>7</v>
      </c>
      <c r="U68" s="113"/>
      <c r="V68" s="113"/>
      <c r="W68" s="113"/>
      <c r="X68" s="113"/>
      <c r="Y68" s="113"/>
      <c r="Z68" s="113"/>
      <c r="AA68" s="113">
        <v>46</v>
      </c>
      <c r="AB68" s="113">
        <f>60+43</f>
        <v>103</v>
      </c>
      <c r="AC68" s="125">
        <f t="shared" si="5"/>
        <v>126</v>
      </c>
      <c r="AD68" s="116">
        <v>2</v>
      </c>
      <c r="AE68" s="116"/>
      <c r="AF68" s="116"/>
      <c r="AG68" s="116"/>
      <c r="AH68" s="114">
        <v>0.2</v>
      </c>
      <c r="AI68" s="116" t="s">
        <v>298</v>
      </c>
      <c r="AJ68" s="116" t="s">
        <v>2069</v>
      </c>
      <c r="AK68" s="114" t="s">
        <v>1949</v>
      </c>
      <c r="AL68" s="114"/>
      <c r="AM68" s="114"/>
      <c r="AN68" s="114">
        <v>0.2</v>
      </c>
      <c r="AO68" s="114">
        <v>0</v>
      </c>
      <c r="AP68" s="114">
        <v>0.2</v>
      </c>
      <c r="AQ68" s="114">
        <v>0.2</v>
      </c>
      <c r="AR68" s="114">
        <v>0</v>
      </c>
      <c r="AS68" s="114">
        <v>0</v>
      </c>
      <c r="AT68" s="114" t="s">
        <v>952</v>
      </c>
      <c r="AU68" s="113" t="s">
        <v>2221</v>
      </c>
      <c r="AV68" s="125">
        <v>0</v>
      </c>
      <c r="AW68" s="116"/>
      <c r="AX68" s="116"/>
      <c r="AY68" s="116"/>
      <c r="AZ68" s="116"/>
      <c r="BA68" s="116"/>
      <c r="BB68" s="113" t="s">
        <v>2398</v>
      </c>
      <c r="BC68" s="128">
        <v>45737</v>
      </c>
      <c r="BD68" s="113" t="s">
        <v>196</v>
      </c>
      <c r="BE68" s="113" t="s">
        <v>187</v>
      </c>
      <c r="BF68" s="116">
        <v>2</v>
      </c>
      <c r="BG68" s="116"/>
      <c r="BH68" s="116"/>
      <c r="BI68" s="116"/>
      <c r="BJ68" s="116"/>
      <c r="BK68" s="116"/>
      <c r="BL68" s="116"/>
      <c r="BM68" s="116">
        <v>2</v>
      </c>
      <c r="BN68" s="116">
        <v>2</v>
      </c>
      <c r="BO68" s="117" t="s">
        <v>615</v>
      </c>
      <c r="BP68" s="117">
        <v>2</v>
      </c>
      <c r="BQ68" s="113" t="s">
        <v>2484</v>
      </c>
      <c r="BR68" s="116">
        <v>2</v>
      </c>
      <c r="BS68" s="113" t="s">
        <v>23</v>
      </c>
      <c r="BT68" s="116" t="s">
        <v>169</v>
      </c>
      <c r="BU68" s="113"/>
      <c r="BV68" s="113" t="s">
        <v>1951</v>
      </c>
      <c r="BW68" s="113" t="s">
        <v>2555</v>
      </c>
      <c r="BX68" s="116">
        <v>2</v>
      </c>
      <c r="BY68" s="113" t="s">
        <v>158</v>
      </c>
      <c r="BZ68" s="113" t="s">
        <v>2635</v>
      </c>
      <c r="CA68" s="113">
        <v>2</v>
      </c>
      <c r="CB68" s="113">
        <v>0</v>
      </c>
      <c r="CC68" s="113">
        <v>0</v>
      </c>
      <c r="CD68" s="113">
        <v>0</v>
      </c>
      <c r="CE68" s="118">
        <v>2</v>
      </c>
      <c r="CF68" s="118" t="s">
        <v>169</v>
      </c>
      <c r="CG68" s="117" t="s">
        <v>169</v>
      </c>
      <c r="CH68" s="117" t="s">
        <v>2643</v>
      </c>
      <c r="CI68" s="118">
        <v>2</v>
      </c>
      <c r="CJ68" s="118">
        <v>0</v>
      </c>
      <c r="CK68" s="119">
        <v>2025.0419999999999</v>
      </c>
      <c r="CL68" s="117" t="s">
        <v>23</v>
      </c>
      <c r="CM68" s="117">
        <v>2</v>
      </c>
      <c r="CN68" s="117" t="s">
        <v>289</v>
      </c>
      <c r="CO68" s="117">
        <v>2</v>
      </c>
      <c r="CP68" s="118" t="s">
        <v>290</v>
      </c>
      <c r="CQ68" s="112" t="s">
        <v>1934</v>
      </c>
      <c r="CR68" s="112" t="s">
        <v>1968</v>
      </c>
      <c r="CS68" s="112" t="s">
        <v>1967</v>
      </c>
      <c r="CT68" s="112" t="s">
        <v>2610</v>
      </c>
      <c r="CU68" s="112" t="s">
        <v>1712</v>
      </c>
      <c r="CV68" s="112" t="s">
        <v>324</v>
      </c>
      <c r="CW68" s="112" t="s">
        <v>1935</v>
      </c>
      <c r="CX68" s="112" t="s">
        <v>1936</v>
      </c>
      <c r="CY68" s="112" t="s">
        <v>1937</v>
      </c>
      <c r="CZ68" s="112" t="s">
        <v>862</v>
      </c>
      <c r="DA68" s="112" t="s">
        <v>1938</v>
      </c>
      <c r="DB68" s="112"/>
      <c r="DC68" s="112"/>
      <c r="DD68" s="112"/>
      <c r="DE68" s="112"/>
      <c r="DF68" s="112"/>
      <c r="DG68" s="112"/>
      <c r="DH68" s="112"/>
      <c r="DI68" s="112" t="s">
        <v>2281</v>
      </c>
      <c r="DJ68" s="112"/>
      <c r="DK68" s="112"/>
      <c r="DL68" s="112">
        <f t="shared" si="1"/>
        <v>5</v>
      </c>
    </row>
    <row r="69" spans="1:116" s="253" customFormat="1" ht="26.25" x14ac:dyDescent="0.25">
      <c r="A69" s="254"/>
      <c r="B69" s="255" t="s">
        <v>493</v>
      </c>
      <c r="C69" s="256">
        <v>423</v>
      </c>
      <c r="D69" s="274" t="s">
        <v>19</v>
      </c>
      <c r="E69" s="260" t="s">
        <v>167</v>
      </c>
      <c r="F69" s="260" t="s">
        <v>2603</v>
      </c>
      <c r="G69" s="260" t="s">
        <v>2254</v>
      </c>
      <c r="H69" s="277" t="s">
        <v>2602</v>
      </c>
      <c r="I69" s="256" t="s">
        <v>2255</v>
      </c>
      <c r="J69" s="260" t="s">
        <v>2155</v>
      </c>
      <c r="K69" s="260" t="s">
        <v>1205</v>
      </c>
      <c r="L69" s="260" t="s">
        <v>590</v>
      </c>
      <c r="M69" s="256">
        <v>4</v>
      </c>
      <c r="N69" s="256">
        <v>4</v>
      </c>
      <c r="O69" s="256">
        <v>4</v>
      </c>
      <c r="P69" s="256">
        <v>2</v>
      </c>
      <c r="Q69" s="256">
        <v>2</v>
      </c>
      <c r="R69" s="256">
        <v>4</v>
      </c>
      <c r="S69" s="256">
        <v>1</v>
      </c>
      <c r="T69" s="256">
        <v>4</v>
      </c>
      <c r="U69" s="256"/>
      <c r="V69" s="256"/>
      <c r="W69" s="256"/>
      <c r="X69" s="256"/>
      <c r="Y69" s="256"/>
      <c r="Z69" s="256"/>
      <c r="AA69" s="256">
        <v>25</v>
      </c>
      <c r="AB69" s="256">
        <v>95</v>
      </c>
      <c r="AC69" s="261">
        <f t="shared" si="5"/>
        <v>107.5</v>
      </c>
      <c r="AD69" s="262">
        <v>2</v>
      </c>
      <c r="AE69" s="262"/>
      <c r="AF69" s="262"/>
      <c r="AG69" s="262"/>
      <c r="AH69" s="263">
        <v>0.2</v>
      </c>
      <c r="AI69" s="262" t="s">
        <v>298</v>
      </c>
      <c r="AJ69" s="262" t="s">
        <v>2047</v>
      </c>
      <c r="AK69" s="263" t="s">
        <v>1826</v>
      </c>
      <c r="AL69" s="263" t="s">
        <v>1251</v>
      </c>
      <c r="AM69" s="263" t="s">
        <v>690</v>
      </c>
      <c r="AN69" s="263">
        <v>0.2</v>
      </c>
      <c r="AO69" s="263">
        <v>0</v>
      </c>
      <c r="AP69" s="263">
        <v>0.2</v>
      </c>
      <c r="AQ69" s="263">
        <v>0.2</v>
      </c>
      <c r="AR69" s="263">
        <v>0</v>
      </c>
      <c r="AS69" s="263">
        <v>0.2</v>
      </c>
      <c r="AT69" s="263" t="s">
        <v>952</v>
      </c>
      <c r="AU69" s="256" t="s">
        <v>1415</v>
      </c>
      <c r="AV69" s="261">
        <v>0</v>
      </c>
      <c r="AW69" s="262">
        <v>2</v>
      </c>
      <c r="AX69" s="262"/>
      <c r="AY69" s="262"/>
      <c r="AZ69" s="262"/>
      <c r="BA69" s="262"/>
      <c r="BB69" s="256" t="s">
        <v>2399</v>
      </c>
      <c r="BC69" s="264">
        <v>45737</v>
      </c>
      <c r="BD69" s="256" t="s">
        <v>182</v>
      </c>
      <c r="BE69" s="256" t="s">
        <v>186</v>
      </c>
      <c r="BF69" s="262">
        <v>2</v>
      </c>
      <c r="BG69" s="262"/>
      <c r="BH69" s="262"/>
      <c r="BI69" s="262"/>
      <c r="BJ69" s="262"/>
      <c r="BK69" s="262"/>
      <c r="BL69" s="262"/>
      <c r="BM69" s="262">
        <v>2</v>
      </c>
      <c r="BN69" s="262">
        <v>2</v>
      </c>
      <c r="BO69" s="265" t="s">
        <v>615</v>
      </c>
      <c r="BP69" s="265">
        <v>2</v>
      </c>
      <c r="BQ69" s="256" t="s">
        <v>2485</v>
      </c>
      <c r="BR69" s="262">
        <v>2</v>
      </c>
      <c r="BS69" s="256" t="s">
        <v>23</v>
      </c>
      <c r="BT69" s="262" t="s">
        <v>169</v>
      </c>
      <c r="BU69" s="256" t="s">
        <v>139</v>
      </c>
      <c r="BV69" s="256" t="s">
        <v>1892</v>
      </c>
      <c r="BW69" s="256" t="s">
        <v>2556</v>
      </c>
      <c r="BX69" s="262">
        <f>AN69*10</f>
        <v>2</v>
      </c>
      <c r="BY69" s="256" t="s">
        <v>158</v>
      </c>
      <c r="BZ69" s="256" t="s">
        <v>1370</v>
      </c>
      <c r="CA69" s="256">
        <v>2</v>
      </c>
      <c r="CB69" s="256">
        <v>0</v>
      </c>
      <c r="CC69" s="256">
        <v>0</v>
      </c>
      <c r="CD69" s="256">
        <v>2</v>
      </c>
      <c r="CE69" s="266">
        <v>2</v>
      </c>
      <c r="CF69" s="266">
        <v>0.2</v>
      </c>
      <c r="CG69" s="265" t="s">
        <v>1048</v>
      </c>
      <c r="CH69" s="265" t="s">
        <v>2643</v>
      </c>
      <c r="CI69" s="266">
        <v>2</v>
      </c>
      <c r="CJ69" s="266">
        <v>0</v>
      </c>
      <c r="CK69" s="267">
        <v>2025.0415</v>
      </c>
      <c r="CL69" s="265" t="s">
        <v>23</v>
      </c>
      <c r="CM69" s="265">
        <v>2</v>
      </c>
      <c r="CN69" s="265" t="s">
        <v>289</v>
      </c>
      <c r="CO69" s="265">
        <v>2</v>
      </c>
      <c r="CP69" s="266" t="s">
        <v>315</v>
      </c>
      <c r="CQ69" s="260" t="s">
        <v>1008</v>
      </c>
      <c r="CR69" s="260" t="s">
        <v>1648</v>
      </c>
      <c r="CS69" s="260" t="s">
        <v>1649</v>
      </c>
      <c r="CT69" s="260" t="s">
        <v>999</v>
      </c>
      <c r="CU69" s="260" t="s">
        <v>1714</v>
      </c>
      <c r="CV69" s="260" t="s">
        <v>324</v>
      </c>
      <c r="CW69" s="255" t="s">
        <v>865</v>
      </c>
      <c r="CX69" s="255" t="s">
        <v>866</v>
      </c>
      <c r="CY69" s="255" t="s">
        <v>867</v>
      </c>
      <c r="CZ69" s="255" t="s">
        <v>868</v>
      </c>
      <c r="DA69" s="255" t="s">
        <v>869</v>
      </c>
      <c r="DB69" s="255"/>
      <c r="DC69" s="255"/>
      <c r="DD69" s="255"/>
      <c r="DE69" s="255"/>
      <c r="DF69" s="255"/>
      <c r="DG69" s="255"/>
      <c r="DH69" s="255"/>
      <c r="DI69" s="255" t="s">
        <v>2281</v>
      </c>
      <c r="DJ69" s="255"/>
      <c r="DK69" s="255"/>
      <c r="DL69" s="255">
        <f t="shared" si="1"/>
        <v>5</v>
      </c>
    </row>
    <row r="70" spans="1:116" ht="26.25" x14ac:dyDescent="0.25">
      <c r="A70" s="111"/>
      <c r="B70" s="112" t="s">
        <v>87</v>
      </c>
      <c r="C70" s="113">
        <v>424</v>
      </c>
      <c r="D70" s="131" t="s">
        <v>156</v>
      </c>
      <c r="E70" s="124" t="s">
        <v>168</v>
      </c>
      <c r="F70" s="124" t="s">
        <v>1358</v>
      </c>
      <c r="G70" s="124" t="s">
        <v>2256</v>
      </c>
      <c r="H70" s="123" t="s">
        <v>2605</v>
      </c>
      <c r="I70" s="113" t="s">
        <v>2257</v>
      </c>
      <c r="J70" s="124" t="s">
        <v>2156</v>
      </c>
      <c r="K70" s="124" t="s">
        <v>1206</v>
      </c>
      <c r="L70" s="124" t="s">
        <v>591</v>
      </c>
      <c r="M70" s="113">
        <v>1</v>
      </c>
      <c r="N70" s="113">
        <v>1</v>
      </c>
      <c r="O70" s="113">
        <v>1</v>
      </c>
      <c r="P70" s="113">
        <v>1</v>
      </c>
      <c r="Q70" s="113">
        <v>1</v>
      </c>
      <c r="R70" s="113">
        <v>1</v>
      </c>
      <c r="S70" s="113">
        <v>1</v>
      </c>
      <c r="T70" s="113">
        <v>1</v>
      </c>
      <c r="U70" s="113">
        <v>1</v>
      </c>
      <c r="V70" s="113">
        <v>1</v>
      </c>
      <c r="W70" s="113">
        <v>1</v>
      </c>
      <c r="X70" s="113">
        <v>1</v>
      </c>
      <c r="Y70" s="113">
        <v>4</v>
      </c>
      <c r="Z70" s="113"/>
      <c r="AA70" s="113">
        <v>16</v>
      </c>
      <c r="AB70" s="113">
        <v>68</v>
      </c>
      <c r="AC70" s="125">
        <f t="shared" si="5"/>
        <v>76</v>
      </c>
      <c r="AD70" s="116">
        <v>1.5</v>
      </c>
      <c r="AE70" s="116"/>
      <c r="AF70" s="116"/>
      <c r="AG70" s="116"/>
      <c r="AH70" s="114">
        <v>0.1</v>
      </c>
      <c r="AI70" s="116" t="s">
        <v>298</v>
      </c>
      <c r="AJ70" s="116" t="s">
        <v>2073</v>
      </c>
      <c r="AK70" s="114" t="s">
        <v>1823</v>
      </c>
      <c r="AL70" s="114" t="s">
        <v>1282</v>
      </c>
      <c r="AM70" s="114" t="s">
        <v>684</v>
      </c>
      <c r="AN70" s="114">
        <v>0.15</v>
      </c>
      <c r="AO70" s="114">
        <v>0.15</v>
      </c>
      <c r="AP70" s="114">
        <v>0.15</v>
      </c>
      <c r="AQ70" s="114">
        <v>0.15</v>
      </c>
      <c r="AR70" s="114">
        <v>0</v>
      </c>
      <c r="AS70" s="114">
        <v>0</v>
      </c>
      <c r="AT70" s="114" t="s">
        <v>952</v>
      </c>
      <c r="AU70" s="113" t="s">
        <v>1459</v>
      </c>
      <c r="AV70" s="116">
        <v>1.5</v>
      </c>
      <c r="AW70" s="116"/>
      <c r="AX70" s="116"/>
      <c r="AY70" s="116"/>
      <c r="AZ70" s="116"/>
      <c r="BA70" s="116"/>
      <c r="BB70" s="113" t="s">
        <v>2400</v>
      </c>
      <c r="BC70" s="128">
        <v>45737</v>
      </c>
      <c r="BD70" s="113" t="s">
        <v>2424</v>
      </c>
      <c r="BE70" s="113" t="s">
        <v>187</v>
      </c>
      <c r="BF70" s="116">
        <v>1.5</v>
      </c>
      <c r="BG70" s="116"/>
      <c r="BH70" s="116"/>
      <c r="BI70" s="116"/>
      <c r="BJ70" s="116"/>
      <c r="BK70" s="116"/>
      <c r="BL70" s="116"/>
      <c r="BM70" s="116">
        <v>1.5</v>
      </c>
      <c r="BN70" s="116">
        <v>1.5</v>
      </c>
      <c r="BO70" s="117" t="s">
        <v>614</v>
      </c>
      <c r="BP70" s="117">
        <v>1.5</v>
      </c>
      <c r="BQ70" s="113" t="s">
        <v>2486</v>
      </c>
      <c r="BR70" s="116">
        <v>1.5</v>
      </c>
      <c r="BS70" s="126" t="s">
        <v>23</v>
      </c>
      <c r="BT70" s="116" t="s">
        <v>169</v>
      </c>
      <c r="BU70" s="113" t="s">
        <v>160</v>
      </c>
      <c r="BV70" s="113" t="s">
        <v>1894</v>
      </c>
      <c r="BW70" s="113" t="s">
        <v>2557</v>
      </c>
      <c r="BX70" s="116">
        <f>AN70*10</f>
        <v>1.5</v>
      </c>
      <c r="BY70" s="113" t="s">
        <v>158</v>
      </c>
      <c r="BZ70" s="113" t="s">
        <v>1369</v>
      </c>
      <c r="CA70" s="113">
        <v>1.5</v>
      </c>
      <c r="CB70" s="113">
        <v>0</v>
      </c>
      <c r="CC70" s="113">
        <v>0</v>
      </c>
      <c r="CD70" s="113">
        <v>0</v>
      </c>
      <c r="CE70" s="118">
        <v>1.5</v>
      </c>
      <c r="CF70" s="118">
        <v>0.1</v>
      </c>
      <c r="CG70" s="117" t="s">
        <v>1049</v>
      </c>
      <c r="CH70" s="117" t="s">
        <v>2643</v>
      </c>
      <c r="CI70" s="118">
        <v>1.5</v>
      </c>
      <c r="CJ70" s="118">
        <v>0</v>
      </c>
      <c r="CK70" s="119">
        <v>2025.0416</v>
      </c>
      <c r="CL70" s="117" t="s">
        <v>23</v>
      </c>
      <c r="CM70" s="117">
        <v>1.5</v>
      </c>
      <c r="CN70" s="117" t="s">
        <v>289</v>
      </c>
      <c r="CO70" s="117">
        <v>1.5</v>
      </c>
      <c r="CP70" s="118" t="s">
        <v>315</v>
      </c>
      <c r="CQ70" s="124" t="s">
        <v>31</v>
      </c>
      <c r="CR70" s="124" t="s">
        <v>1646</v>
      </c>
      <c r="CS70" s="124" t="s">
        <v>1647</v>
      </c>
      <c r="CT70" s="124" t="s">
        <v>1618</v>
      </c>
      <c r="CU70" s="124" t="s">
        <v>1712</v>
      </c>
      <c r="CV70" s="124" t="s">
        <v>1706</v>
      </c>
      <c r="CW70" s="112" t="s">
        <v>870</v>
      </c>
      <c r="CX70" s="112" t="s">
        <v>871</v>
      </c>
      <c r="CY70" s="112" t="s">
        <v>872</v>
      </c>
      <c r="CZ70" s="112" t="s">
        <v>873</v>
      </c>
      <c r="DA70" s="112" t="s">
        <v>874</v>
      </c>
      <c r="DB70" s="112" t="s">
        <v>875</v>
      </c>
      <c r="DC70" s="112"/>
      <c r="DD70" s="112"/>
      <c r="DE70" s="112"/>
      <c r="DF70" s="112"/>
      <c r="DG70" s="112"/>
      <c r="DH70" s="112"/>
      <c r="DI70" s="112" t="s">
        <v>2292</v>
      </c>
      <c r="DJ70" s="112"/>
      <c r="DK70" s="112"/>
      <c r="DL70" s="112">
        <f t="shared" ref="DL70:DL112" si="8">COUNTA(CW70:DH70)</f>
        <v>6</v>
      </c>
    </row>
    <row r="71" spans="1:116" s="253" customFormat="1" ht="25.5" x14ac:dyDescent="0.2">
      <c r="A71" s="254"/>
      <c r="B71" s="255" t="s">
        <v>88</v>
      </c>
      <c r="C71" s="256">
        <v>425</v>
      </c>
      <c r="D71" s="274" t="s">
        <v>1388</v>
      </c>
      <c r="E71" s="260" t="s">
        <v>480</v>
      </c>
      <c r="F71" s="258" t="s">
        <v>1352</v>
      </c>
      <c r="G71" s="258" t="s">
        <v>2230</v>
      </c>
      <c r="H71" s="258"/>
      <c r="I71" s="259" t="s">
        <v>2231</v>
      </c>
      <c r="J71" s="258" t="s">
        <v>2157</v>
      </c>
      <c r="K71" s="260" t="s">
        <v>1804</v>
      </c>
      <c r="L71" s="260"/>
      <c r="M71" s="256"/>
      <c r="N71" s="256"/>
      <c r="O71" s="256"/>
      <c r="P71" s="256"/>
      <c r="Q71" s="256"/>
      <c r="R71" s="256"/>
      <c r="S71" s="256"/>
      <c r="T71" s="256"/>
      <c r="U71" s="256"/>
      <c r="V71" s="256"/>
      <c r="W71" s="256"/>
      <c r="X71" s="256"/>
      <c r="Y71" s="256"/>
      <c r="Z71" s="256"/>
      <c r="AA71" s="256">
        <f t="shared" si="7"/>
        <v>0</v>
      </c>
      <c r="AB71" s="256"/>
      <c r="AC71" s="261">
        <f t="shared" si="5"/>
        <v>0</v>
      </c>
      <c r="AD71" s="262">
        <v>1</v>
      </c>
      <c r="AE71" s="262"/>
      <c r="AF71" s="262"/>
      <c r="AG71" s="262"/>
      <c r="AH71" s="261">
        <v>0</v>
      </c>
      <c r="AI71" s="262" t="s">
        <v>162</v>
      </c>
      <c r="AJ71" s="262"/>
      <c r="AK71" s="263"/>
      <c r="AL71" s="263" t="s">
        <v>1809</v>
      </c>
      <c r="AM71" s="263" t="s">
        <v>1808</v>
      </c>
      <c r="AN71" s="263"/>
      <c r="AO71" s="263"/>
      <c r="AP71" s="263"/>
      <c r="AQ71" s="263"/>
      <c r="AR71" s="263"/>
      <c r="AS71" s="263"/>
      <c r="AT71" s="263" t="s">
        <v>952</v>
      </c>
      <c r="AU71" s="256" t="s">
        <v>2221</v>
      </c>
      <c r="AV71" s="261">
        <v>0</v>
      </c>
      <c r="AW71" s="262"/>
      <c r="AX71" s="262"/>
      <c r="AY71" s="262"/>
      <c r="AZ71" s="262"/>
      <c r="BA71" s="262"/>
      <c r="BB71" s="256" t="s">
        <v>178</v>
      </c>
      <c r="BC71" s="256"/>
      <c r="BD71" s="256" t="s">
        <v>178</v>
      </c>
      <c r="BE71" s="256"/>
      <c r="BF71" s="262"/>
      <c r="BG71" s="262"/>
      <c r="BH71" s="262"/>
      <c r="BI71" s="262"/>
      <c r="BJ71" s="262"/>
      <c r="BK71" s="262"/>
      <c r="BL71" s="262"/>
      <c r="BM71" s="262" t="s">
        <v>169</v>
      </c>
      <c r="BN71" s="262" t="s">
        <v>169</v>
      </c>
      <c r="BO71" s="265" t="s">
        <v>178</v>
      </c>
      <c r="BP71" s="265" t="s">
        <v>178</v>
      </c>
      <c r="BQ71" s="256" t="s">
        <v>2487</v>
      </c>
      <c r="BR71" s="262">
        <v>1</v>
      </c>
      <c r="BS71" s="256"/>
      <c r="BT71" s="262" t="s">
        <v>169</v>
      </c>
      <c r="BU71" s="256" t="s">
        <v>169</v>
      </c>
      <c r="BV71" s="256" t="s">
        <v>1895</v>
      </c>
      <c r="BW71" s="256" t="s">
        <v>2558</v>
      </c>
      <c r="BX71" s="262">
        <v>1</v>
      </c>
      <c r="BY71" s="266" t="s">
        <v>158</v>
      </c>
      <c r="BZ71" s="266" t="s">
        <v>169</v>
      </c>
      <c r="CA71" s="266" t="s">
        <v>169</v>
      </c>
      <c r="CB71" s="266" t="s">
        <v>169</v>
      </c>
      <c r="CC71" s="266" t="s">
        <v>169</v>
      </c>
      <c r="CD71" s="266" t="s">
        <v>169</v>
      </c>
      <c r="CE71" s="266">
        <v>1</v>
      </c>
      <c r="CF71" s="266" t="s">
        <v>169</v>
      </c>
      <c r="CG71" s="265" t="s">
        <v>169</v>
      </c>
      <c r="CH71" s="266" t="s">
        <v>2643</v>
      </c>
      <c r="CI71" s="266">
        <v>1</v>
      </c>
      <c r="CJ71" s="266">
        <v>0</v>
      </c>
      <c r="CK71" s="267">
        <v>2025.0417</v>
      </c>
      <c r="CL71" s="266" t="s">
        <v>23</v>
      </c>
      <c r="CM71" s="265">
        <v>1</v>
      </c>
      <c r="CN71" s="265" t="s">
        <v>289</v>
      </c>
      <c r="CO71" s="265">
        <v>1</v>
      </c>
      <c r="CP71" s="266" t="s">
        <v>290</v>
      </c>
      <c r="CQ71" s="260" t="s">
        <v>49</v>
      </c>
      <c r="CR71" s="260"/>
      <c r="CS71" s="260"/>
      <c r="CT71" s="260"/>
      <c r="CU71" s="260" t="s">
        <v>1712</v>
      </c>
      <c r="CV71" s="260" t="s">
        <v>324</v>
      </c>
      <c r="CW71" s="255"/>
      <c r="CX71" s="255"/>
      <c r="CY71" s="255"/>
      <c r="CZ71" s="255"/>
      <c r="DA71" s="255"/>
      <c r="DB71" s="255"/>
      <c r="DC71" s="255"/>
      <c r="DD71" s="255"/>
      <c r="DE71" s="255"/>
      <c r="DF71" s="255"/>
      <c r="DG71" s="255"/>
      <c r="DH71" s="255"/>
      <c r="DI71" s="255"/>
      <c r="DJ71" s="255"/>
      <c r="DK71" s="255"/>
      <c r="DL71" s="255">
        <f t="shared" si="8"/>
        <v>0</v>
      </c>
    </row>
    <row r="72" spans="1:116" ht="25.5" x14ac:dyDescent="0.2">
      <c r="A72" s="111"/>
      <c r="B72" s="112" t="s">
        <v>170</v>
      </c>
      <c r="C72" s="113">
        <v>426</v>
      </c>
      <c r="D72" s="131" t="s">
        <v>245</v>
      </c>
      <c r="E72" s="124" t="s">
        <v>480</v>
      </c>
      <c r="F72" s="121" t="s">
        <v>1352</v>
      </c>
      <c r="G72" s="121" t="s">
        <v>2230</v>
      </c>
      <c r="H72" s="121" t="s">
        <v>2593</v>
      </c>
      <c r="I72" s="122" t="s">
        <v>2231</v>
      </c>
      <c r="J72" s="121" t="s">
        <v>2158</v>
      </c>
      <c r="K72" s="124" t="s">
        <v>1207</v>
      </c>
      <c r="L72" s="124" t="s">
        <v>751</v>
      </c>
      <c r="M72" s="113">
        <v>4</v>
      </c>
      <c r="N72" s="113">
        <v>4</v>
      </c>
      <c r="O72" s="113">
        <v>4</v>
      </c>
      <c r="P72" s="113">
        <v>2</v>
      </c>
      <c r="Q72" s="113">
        <v>4</v>
      </c>
      <c r="R72" s="113">
        <v>4</v>
      </c>
      <c r="S72" s="113">
        <v>4</v>
      </c>
      <c r="T72" s="113">
        <v>1</v>
      </c>
      <c r="U72" s="113"/>
      <c r="V72" s="113"/>
      <c r="W72" s="113"/>
      <c r="X72" s="113"/>
      <c r="Y72" s="113"/>
      <c r="Z72" s="113"/>
      <c r="AA72" s="113">
        <v>27</v>
      </c>
      <c r="AB72" s="113">
        <v>95</v>
      </c>
      <c r="AC72" s="125">
        <f t="shared" si="5"/>
        <v>108.5</v>
      </c>
      <c r="AD72" s="116">
        <v>2</v>
      </c>
      <c r="AE72" s="116" t="s">
        <v>1984</v>
      </c>
      <c r="AF72" s="116"/>
      <c r="AG72" s="116"/>
      <c r="AH72" s="125">
        <v>0</v>
      </c>
      <c r="AI72" s="116" t="s">
        <v>162</v>
      </c>
      <c r="AJ72" s="116" t="s">
        <v>2071</v>
      </c>
      <c r="AK72" s="114" t="s">
        <v>1822</v>
      </c>
      <c r="AL72" s="114" t="s">
        <v>1254</v>
      </c>
      <c r="AM72" s="114" t="s">
        <v>683</v>
      </c>
      <c r="AN72" s="114">
        <v>0.2</v>
      </c>
      <c r="AO72" s="114">
        <v>0.2</v>
      </c>
      <c r="AP72" s="114">
        <v>0.2</v>
      </c>
      <c r="AQ72" s="114">
        <v>0.2</v>
      </c>
      <c r="AR72" s="114">
        <v>0</v>
      </c>
      <c r="AS72" s="114">
        <v>0</v>
      </c>
      <c r="AT72" s="114" t="s">
        <v>952</v>
      </c>
      <c r="AU72" s="113" t="s">
        <v>1416</v>
      </c>
      <c r="AV72" s="125">
        <v>0</v>
      </c>
      <c r="AW72" s="116">
        <v>2</v>
      </c>
      <c r="AX72" s="116"/>
      <c r="AY72" s="116"/>
      <c r="AZ72" s="116"/>
      <c r="BA72" s="116"/>
      <c r="BB72" s="113" t="s">
        <v>178</v>
      </c>
      <c r="BC72" s="113" t="s">
        <v>178</v>
      </c>
      <c r="BD72" s="113" t="s">
        <v>178</v>
      </c>
      <c r="BE72" s="113" t="s">
        <v>178</v>
      </c>
      <c r="BF72" s="116">
        <v>0</v>
      </c>
      <c r="BG72" s="116"/>
      <c r="BH72" s="116"/>
      <c r="BI72" s="116"/>
      <c r="BJ72" s="116"/>
      <c r="BK72" s="116"/>
      <c r="BL72" s="116"/>
      <c r="BM72" s="116">
        <v>2</v>
      </c>
      <c r="BN72" s="116">
        <v>2</v>
      </c>
      <c r="BO72" s="117" t="s">
        <v>178</v>
      </c>
      <c r="BP72" s="117" t="s">
        <v>178</v>
      </c>
      <c r="BQ72" s="113" t="s">
        <v>2488</v>
      </c>
      <c r="BR72" s="116">
        <v>2</v>
      </c>
      <c r="BS72" s="113" t="s">
        <v>23</v>
      </c>
      <c r="BT72" s="116" t="s">
        <v>169</v>
      </c>
      <c r="BU72" s="113" t="s">
        <v>162</v>
      </c>
      <c r="BV72" s="113" t="s">
        <v>1913</v>
      </c>
      <c r="BW72" s="113" t="s">
        <v>2559</v>
      </c>
      <c r="BX72" s="145">
        <v>2</v>
      </c>
      <c r="BY72" s="113" t="s">
        <v>158</v>
      </c>
      <c r="BZ72" s="113" t="s">
        <v>1371</v>
      </c>
      <c r="CA72" s="113">
        <v>2</v>
      </c>
      <c r="CB72" s="113">
        <v>0</v>
      </c>
      <c r="CC72" s="113">
        <v>0</v>
      </c>
      <c r="CD72" s="113">
        <v>0</v>
      </c>
      <c r="CE72" s="118">
        <v>2</v>
      </c>
      <c r="CF72" s="118" t="s">
        <v>169</v>
      </c>
      <c r="CG72" s="117" t="s">
        <v>169</v>
      </c>
      <c r="CH72" s="117" t="s">
        <v>2643</v>
      </c>
      <c r="CI72" s="118">
        <v>2</v>
      </c>
      <c r="CJ72" s="118">
        <v>0</v>
      </c>
      <c r="CK72" s="119">
        <v>2025.0418</v>
      </c>
      <c r="CL72" s="118" t="s">
        <v>23</v>
      </c>
      <c r="CM72" s="117">
        <v>2</v>
      </c>
      <c r="CN72" s="117" t="s">
        <v>289</v>
      </c>
      <c r="CO72" s="117">
        <v>2</v>
      </c>
      <c r="CP72" s="118" t="s">
        <v>290</v>
      </c>
      <c r="CQ72" s="124" t="s">
        <v>171</v>
      </c>
      <c r="CR72" s="124" t="s">
        <v>1644</v>
      </c>
      <c r="CS72" s="124" t="s">
        <v>1645</v>
      </c>
      <c r="CT72" s="124" t="s">
        <v>1619</v>
      </c>
      <c r="CU72" s="124" t="s">
        <v>1713</v>
      </c>
      <c r="CV72" s="124" t="s">
        <v>324</v>
      </c>
      <c r="CW72" s="112" t="s">
        <v>876</v>
      </c>
      <c r="CX72" s="112" t="s">
        <v>877</v>
      </c>
      <c r="CY72" s="112" t="s">
        <v>878</v>
      </c>
      <c r="CZ72" s="112" t="s">
        <v>879</v>
      </c>
      <c r="DA72" s="112" t="s">
        <v>880</v>
      </c>
      <c r="DB72" s="112" t="s">
        <v>881</v>
      </c>
      <c r="DC72" s="112"/>
      <c r="DD72" s="112"/>
      <c r="DE72" s="112"/>
      <c r="DF72" s="112"/>
      <c r="DG72" s="112"/>
      <c r="DH72" s="112"/>
      <c r="DI72" s="112" t="s">
        <v>2281</v>
      </c>
      <c r="DJ72" s="112"/>
      <c r="DK72" s="112"/>
      <c r="DL72" s="112">
        <f t="shared" si="8"/>
        <v>6</v>
      </c>
    </row>
    <row r="73" spans="1:116" s="253" customFormat="1" ht="26.25" thickBot="1" x14ac:dyDescent="0.25">
      <c r="A73" s="282"/>
      <c r="B73" s="283" t="s">
        <v>742</v>
      </c>
      <c r="C73" s="284"/>
      <c r="D73" s="285" t="s">
        <v>306</v>
      </c>
      <c r="E73" s="286" t="s">
        <v>480</v>
      </c>
      <c r="F73" s="300" t="s">
        <v>1352</v>
      </c>
      <c r="G73" s="300" t="s">
        <v>2230</v>
      </c>
      <c r="H73" s="300" t="s">
        <v>2593</v>
      </c>
      <c r="I73" s="299" t="s">
        <v>2231</v>
      </c>
      <c r="J73" s="300" t="s">
        <v>2159</v>
      </c>
      <c r="K73" s="286" t="s">
        <v>1319</v>
      </c>
      <c r="L73" s="286" t="s">
        <v>592</v>
      </c>
      <c r="M73" s="284">
        <v>10</v>
      </c>
      <c r="N73" s="284">
        <v>2</v>
      </c>
      <c r="O73" s="284">
        <v>3</v>
      </c>
      <c r="P73" s="284">
        <v>2</v>
      </c>
      <c r="Q73" s="284">
        <v>2</v>
      </c>
      <c r="R73" s="284">
        <v>2</v>
      </c>
      <c r="S73" s="284">
        <v>3</v>
      </c>
      <c r="T73" s="284">
        <v>2</v>
      </c>
      <c r="U73" s="284">
        <v>3</v>
      </c>
      <c r="V73" s="284">
        <v>3</v>
      </c>
      <c r="W73" s="284">
        <v>10</v>
      </c>
      <c r="X73" s="284"/>
      <c r="Y73" s="284"/>
      <c r="Z73" s="284"/>
      <c r="AA73" s="284">
        <v>42</v>
      </c>
      <c r="AB73" s="284">
        <f>60+56</f>
        <v>116</v>
      </c>
      <c r="AC73" s="288">
        <f t="shared" si="5"/>
        <v>137</v>
      </c>
      <c r="AD73" s="289">
        <v>2.5</v>
      </c>
      <c r="AE73" s="289" t="s">
        <v>1984</v>
      </c>
      <c r="AF73" s="289"/>
      <c r="AG73" s="289"/>
      <c r="AH73" s="288">
        <v>0</v>
      </c>
      <c r="AI73" s="289" t="s">
        <v>162</v>
      </c>
      <c r="AJ73" s="289" t="s">
        <v>2207</v>
      </c>
      <c r="AK73" s="290" t="s">
        <v>1932</v>
      </c>
      <c r="AL73" s="290" t="s">
        <v>1261</v>
      </c>
      <c r="AM73" s="290" t="s">
        <v>685</v>
      </c>
      <c r="AN73" s="290">
        <v>0.25</v>
      </c>
      <c r="AO73" s="290">
        <v>0</v>
      </c>
      <c r="AP73" s="290">
        <v>0.25</v>
      </c>
      <c r="AQ73" s="290">
        <v>0.25</v>
      </c>
      <c r="AR73" s="290">
        <v>0</v>
      </c>
      <c r="AS73" s="290">
        <v>0.25</v>
      </c>
      <c r="AT73" s="290" t="s">
        <v>952</v>
      </c>
      <c r="AU73" s="284" t="s">
        <v>1460</v>
      </c>
      <c r="AV73" s="288">
        <v>0</v>
      </c>
      <c r="AW73" s="289">
        <v>2.5</v>
      </c>
      <c r="AX73" s="289"/>
      <c r="AY73" s="289"/>
      <c r="AZ73" s="289"/>
      <c r="BA73" s="289"/>
      <c r="BB73" s="284" t="s">
        <v>2401</v>
      </c>
      <c r="BC73" s="301">
        <v>45737</v>
      </c>
      <c r="BD73" s="284" t="s">
        <v>2351</v>
      </c>
      <c r="BE73" s="284" t="s">
        <v>186</v>
      </c>
      <c r="BF73" s="289">
        <v>2.5</v>
      </c>
      <c r="BG73" s="289"/>
      <c r="BH73" s="289"/>
      <c r="BI73" s="289"/>
      <c r="BJ73" s="289"/>
      <c r="BK73" s="289"/>
      <c r="BL73" s="289"/>
      <c r="BM73" s="289">
        <v>2.5</v>
      </c>
      <c r="BN73" s="289">
        <v>2.5</v>
      </c>
      <c r="BO73" s="293" t="s">
        <v>178</v>
      </c>
      <c r="BP73" s="293" t="s">
        <v>178</v>
      </c>
      <c r="BQ73" s="284" t="s">
        <v>2489</v>
      </c>
      <c r="BR73" s="289">
        <v>2.5</v>
      </c>
      <c r="BS73" s="284" t="s">
        <v>179</v>
      </c>
      <c r="BT73" s="289" t="s">
        <v>179</v>
      </c>
      <c r="BU73" s="284"/>
      <c r="BV73" s="284" t="s">
        <v>1914</v>
      </c>
      <c r="BW73" s="284" t="s">
        <v>2560</v>
      </c>
      <c r="BX73" s="302">
        <v>2.5</v>
      </c>
      <c r="BY73" s="284" t="s">
        <v>158</v>
      </c>
      <c r="BZ73" s="284" t="s">
        <v>1372</v>
      </c>
      <c r="CA73" s="284">
        <v>2.5</v>
      </c>
      <c r="CB73" s="284">
        <v>0</v>
      </c>
      <c r="CC73" s="284">
        <v>0</v>
      </c>
      <c r="CD73" s="284">
        <v>2.5</v>
      </c>
      <c r="CE73" s="294">
        <v>2.5</v>
      </c>
      <c r="CF73" s="294" t="s">
        <v>169</v>
      </c>
      <c r="CG73" s="293" t="s">
        <v>169</v>
      </c>
      <c r="CH73" s="293" t="s">
        <v>2643</v>
      </c>
      <c r="CI73" s="294">
        <v>2.5</v>
      </c>
      <c r="CJ73" s="294">
        <v>0</v>
      </c>
      <c r="CK73" s="295">
        <v>2025.0418999999999</v>
      </c>
      <c r="CL73" s="294" t="s">
        <v>318</v>
      </c>
      <c r="CM73" s="293">
        <v>2.5</v>
      </c>
      <c r="CN73" s="293" t="s">
        <v>289</v>
      </c>
      <c r="CO73" s="293">
        <v>2.5</v>
      </c>
      <c r="CP73" s="294" t="s">
        <v>289</v>
      </c>
      <c r="CQ73" s="286" t="s">
        <v>1246</v>
      </c>
      <c r="CR73" s="286" t="s">
        <v>1642</v>
      </c>
      <c r="CS73" s="286" t="s">
        <v>1643</v>
      </c>
      <c r="CT73" s="286" t="s">
        <v>1692</v>
      </c>
      <c r="CU73" s="286" t="s">
        <v>1712</v>
      </c>
      <c r="CV73" s="286" t="s">
        <v>1707</v>
      </c>
      <c r="CW73" s="283" t="s">
        <v>2263</v>
      </c>
      <c r="CX73" s="283" t="s">
        <v>2264</v>
      </c>
      <c r="CY73" s="283" t="s">
        <v>2265</v>
      </c>
      <c r="CZ73" s="283" t="s">
        <v>879</v>
      </c>
      <c r="DA73" s="283" t="s">
        <v>2266</v>
      </c>
      <c r="DB73" s="283" t="s">
        <v>2267</v>
      </c>
      <c r="DC73" s="283" t="s">
        <v>2268</v>
      </c>
      <c r="DD73" s="283" t="s">
        <v>2269</v>
      </c>
      <c r="DE73" s="283" t="s">
        <v>2270</v>
      </c>
      <c r="DF73" s="283"/>
      <c r="DG73" s="283"/>
      <c r="DH73" s="283"/>
      <c r="DI73" s="283" t="s">
        <v>2281</v>
      </c>
      <c r="DJ73" s="283"/>
      <c r="DK73" s="283"/>
      <c r="DL73" s="283">
        <f t="shared" si="8"/>
        <v>9</v>
      </c>
    </row>
    <row r="74" spans="1:116" s="195" customFormat="1" ht="14.25" thickTop="1" thickBot="1" x14ac:dyDescent="0.25">
      <c r="A74" s="311"/>
      <c r="B74" s="178"/>
      <c r="C74" s="179"/>
      <c r="D74" s="180" t="s">
        <v>172</v>
      </c>
      <c r="E74" s="181"/>
      <c r="F74" s="181"/>
      <c r="G74" s="181"/>
      <c r="H74" s="181"/>
      <c r="I74" s="182"/>
      <c r="J74" s="181"/>
      <c r="K74" s="213"/>
      <c r="L74" s="213"/>
      <c r="M74" s="213"/>
      <c r="N74" s="213"/>
      <c r="O74" s="213"/>
      <c r="P74" s="213"/>
      <c r="Q74" s="213"/>
      <c r="R74" s="213"/>
      <c r="S74" s="213"/>
      <c r="T74" s="213"/>
      <c r="U74" s="213"/>
      <c r="V74" s="213"/>
      <c r="W74" s="213"/>
      <c r="X74" s="213"/>
      <c r="Y74" s="213"/>
      <c r="Z74" s="213"/>
      <c r="AA74" s="213"/>
      <c r="AB74" s="213"/>
      <c r="AC74" s="214"/>
      <c r="AD74" s="189"/>
      <c r="AE74" s="189"/>
      <c r="AF74" s="189"/>
      <c r="AG74" s="189"/>
      <c r="AH74" s="187"/>
      <c r="AI74" s="189"/>
      <c r="AJ74" s="189"/>
      <c r="AK74" s="187"/>
      <c r="AL74" s="187"/>
      <c r="AM74" s="187"/>
      <c r="AN74" s="187"/>
      <c r="AO74" s="187"/>
      <c r="AP74" s="187"/>
      <c r="AQ74" s="187"/>
      <c r="AR74" s="187"/>
      <c r="AS74" s="187"/>
      <c r="AT74" s="187"/>
      <c r="AU74" s="179"/>
      <c r="AV74" s="189"/>
      <c r="AW74" s="189"/>
      <c r="AX74" s="189"/>
      <c r="AY74" s="189"/>
      <c r="AZ74" s="189"/>
      <c r="BA74" s="189"/>
      <c r="BB74" s="179"/>
      <c r="BC74" s="179"/>
      <c r="BD74" s="179"/>
      <c r="BE74" s="179"/>
      <c r="BF74" s="189"/>
      <c r="BG74" s="189"/>
      <c r="BH74" s="189"/>
      <c r="BI74" s="189"/>
      <c r="BJ74" s="189"/>
      <c r="BK74" s="189"/>
      <c r="BL74" s="189"/>
      <c r="BM74" s="189"/>
      <c r="BN74" s="189"/>
      <c r="BO74" s="190"/>
      <c r="BP74" s="190"/>
      <c r="BQ74" s="179"/>
      <c r="BR74" s="189"/>
      <c r="BS74" s="179"/>
      <c r="BT74" s="189"/>
      <c r="BU74" s="179"/>
      <c r="BV74" s="179"/>
      <c r="BW74" s="179"/>
      <c r="BX74" s="189"/>
      <c r="BY74" s="179"/>
      <c r="BZ74" s="179"/>
      <c r="CA74" s="179"/>
      <c r="CB74" s="179"/>
      <c r="CC74" s="179"/>
      <c r="CD74" s="179"/>
      <c r="CE74" s="190"/>
      <c r="CF74" s="193"/>
      <c r="CG74" s="190"/>
      <c r="CH74" s="190"/>
      <c r="CI74" s="193"/>
      <c r="CJ74" s="193"/>
      <c r="CK74" s="194"/>
      <c r="CL74" s="190"/>
      <c r="CM74" s="190"/>
      <c r="CN74" s="190"/>
      <c r="CO74" s="190"/>
      <c r="CP74" s="193"/>
      <c r="CQ74" s="181"/>
      <c r="CR74" s="181"/>
      <c r="CS74" s="181"/>
      <c r="CT74" s="181"/>
      <c r="CU74" s="181"/>
      <c r="CV74" s="181"/>
      <c r="CW74" s="178"/>
      <c r="CX74" s="178"/>
      <c r="CY74" s="178"/>
      <c r="CZ74" s="178"/>
      <c r="DA74" s="178"/>
      <c r="DB74" s="178"/>
      <c r="DC74" s="178"/>
      <c r="DD74" s="178"/>
      <c r="DE74" s="178"/>
      <c r="DF74" s="178"/>
      <c r="DG74" s="178"/>
      <c r="DH74" s="178"/>
      <c r="DI74" s="178"/>
      <c r="DJ74" s="178"/>
      <c r="DK74" s="178"/>
      <c r="DL74" s="178"/>
    </row>
    <row r="75" spans="1:116" s="253" customFormat="1" ht="27" thickTop="1" x14ac:dyDescent="0.25">
      <c r="A75" s="237"/>
      <c r="B75" s="238" t="s">
        <v>89</v>
      </c>
      <c r="C75" s="239">
        <v>427</v>
      </c>
      <c r="D75" s="272" t="s">
        <v>43</v>
      </c>
      <c r="E75" s="244" t="s">
        <v>164</v>
      </c>
      <c r="F75" s="244" t="s">
        <v>2236</v>
      </c>
      <c r="G75" s="244" t="s">
        <v>2237</v>
      </c>
      <c r="H75" s="243" t="s">
        <v>2606</v>
      </c>
      <c r="I75" s="239" t="s">
        <v>2238</v>
      </c>
      <c r="J75" s="244" t="s">
        <v>2160</v>
      </c>
      <c r="K75" s="244" t="s">
        <v>1188</v>
      </c>
      <c r="L75" s="244" t="s">
        <v>593</v>
      </c>
      <c r="M75" s="239">
        <v>1</v>
      </c>
      <c r="N75" s="239">
        <v>1</v>
      </c>
      <c r="O75" s="239">
        <v>1</v>
      </c>
      <c r="P75" s="239">
        <v>1</v>
      </c>
      <c r="Q75" s="239">
        <v>1</v>
      </c>
      <c r="R75" s="239">
        <v>1</v>
      </c>
      <c r="S75" s="239">
        <v>5</v>
      </c>
      <c r="T75" s="239"/>
      <c r="U75" s="239"/>
      <c r="V75" s="239"/>
      <c r="W75" s="244"/>
      <c r="X75" s="244"/>
      <c r="Y75" s="244"/>
      <c r="Z75" s="244"/>
      <c r="AA75" s="239">
        <v>11</v>
      </c>
      <c r="AB75" s="239">
        <v>76</v>
      </c>
      <c r="AC75" s="245">
        <f t="shared" si="5"/>
        <v>81.5</v>
      </c>
      <c r="AD75" s="246">
        <v>1</v>
      </c>
      <c r="AE75" s="246" t="s">
        <v>1984</v>
      </c>
      <c r="AF75" s="246"/>
      <c r="AG75" s="246"/>
      <c r="AH75" s="247">
        <v>0.15</v>
      </c>
      <c r="AI75" s="246" t="s">
        <v>2617</v>
      </c>
      <c r="AJ75" s="246" t="s">
        <v>2074</v>
      </c>
      <c r="AK75" s="247" t="s">
        <v>1821</v>
      </c>
      <c r="AL75" s="247" t="s">
        <v>1108</v>
      </c>
      <c r="AM75" s="247" t="s">
        <v>721</v>
      </c>
      <c r="AN75" s="247">
        <v>0.1</v>
      </c>
      <c r="AO75" s="247">
        <v>0.1</v>
      </c>
      <c r="AP75" s="247">
        <v>0</v>
      </c>
      <c r="AQ75" s="247">
        <v>0</v>
      </c>
      <c r="AR75" s="247">
        <v>0.1</v>
      </c>
      <c r="AS75" s="247">
        <v>0</v>
      </c>
      <c r="AT75" s="247" t="s">
        <v>952</v>
      </c>
      <c r="AU75" s="239" t="s">
        <v>1436</v>
      </c>
      <c r="AV75" s="245">
        <v>0</v>
      </c>
      <c r="AW75" s="246">
        <v>1.5</v>
      </c>
      <c r="AX75" s="246"/>
      <c r="AY75" s="246"/>
      <c r="AZ75" s="246"/>
      <c r="BA75" s="246"/>
      <c r="BB75" s="248" t="s">
        <v>2403</v>
      </c>
      <c r="BC75" s="249">
        <v>45737</v>
      </c>
      <c r="BD75" s="239" t="s">
        <v>1781</v>
      </c>
      <c r="BE75" s="239" t="s">
        <v>186</v>
      </c>
      <c r="BF75" s="246">
        <v>1</v>
      </c>
      <c r="BG75" s="246"/>
      <c r="BH75" s="246"/>
      <c r="BI75" s="246"/>
      <c r="BJ75" s="246"/>
      <c r="BK75" s="246"/>
      <c r="BL75" s="246"/>
      <c r="BM75" s="246">
        <v>1</v>
      </c>
      <c r="BN75" s="246">
        <v>1</v>
      </c>
      <c r="BO75" s="250" t="s">
        <v>614</v>
      </c>
      <c r="BP75" s="250">
        <v>1.5</v>
      </c>
      <c r="BQ75" s="297" t="s">
        <v>1312</v>
      </c>
      <c r="BR75" s="246">
        <v>0</v>
      </c>
      <c r="BS75" s="248" t="s">
        <v>754</v>
      </c>
      <c r="BT75" s="246" t="s">
        <v>169</v>
      </c>
      <c r="BU75" s="239" t="s">
        <v>215</v>
      </c>
      <c r="BV75" s="239" t="s">
        <v>1896</v>
      </c>
      <c r="BW75" s="239" t="s">
        <v>2561</v>
      </c>
      <c r="BX75" s="246">
        <f t="shared" ref="BX75:BX80" si="9">AN75*10</f>
        <v>1</v>
      </c>
      <c r="BY75" s="239" t="s">
        <v>285</v>
      </c>
      <c r="BZ75" s="239" t="s">
        <v>1373</v>
      </c>
      <c r="CA75" s="239">
        <v>0</v>
      </c>
      <c r="CB75" s="239">
        <v>1.5</v>
      </c>
      <c r="CC75" s="239">
        <v>1.5</v>
      </c>
      <c r="CD75" s="239">
        <v>0</v>
      </c>
      <c r="CE75" s="250" t="s">
        <v>178</v>
      </c>
      <c r="CF75" s="251" t="s">
        <v>169</v>
      </c>
      <c r="CG75" s="250" t="s">
        <v>169</v>
      </c>
      <c r="CH75" s="250" t="s">
        <v>2643</v>
      </c>
      <c r="CI75" s="251">
        <v>0</v>
      </c>
      <c r="CJ75" s="251">
        <v>1</v>
      </c>
      <c r="CK75" s="252">
        <v>2025.0374999999999</v>
      </c>
      <c r="CL75" s="250" t="s">
        <v>319</v>
      </c>
      <c r="CM75" s="250">
        <v>1</v>
      </c>
      <c r="CN75" s="250" t="s">
        <v>289</v>
      </c>
      <c r="CO75" s="250">
        <v>1.5</v>
      </c>
      <c r="CP75" s="251" t="s">
        <v>320</v>
      </c>
      <c r="CQ75" s="244" t="s">
        <v>48</v>
      </c>
      <c r="CR75" s="244" t="s">
        <v>1625</v>
      </c>
      <c r="CS75" s="244" t="s">
        <v>1626</v>
      </c>
      <c r="CT75" s="244" t="s">
        <v>1693</v>
      </c>
      <c r="CU75" s="244" t="s">
        <v>1712</v>
      </c>
      <c r="CV75" s="244" t="s">
        <v>1708</v>
      </c>
      <c r="CW75" s="238" t="s">
        <v>619</v>
      </c>
      <c r="CX75" s="238" t="s">
        <v>620</v>
      </c>
      <c r="CY75" s="238" t="s">
        <v>626</v>
      </c>
      <c r="CZ75" s="238" t="s">
        <v>621</v>
      </c>
      <c r="DA75" s="238" t="s">
        <v>622</v>
      </c>
      <c r="DB75" s="238" t="s">
        <v>623</v>
      </c>
      <c r="DC75" s="238" t="s">
        <v>624</v>
      </c>
      <c r="DD75" s="238"/>
      <c r="DE75" s="238"/>
      <c r="DF75" s="238"/>
      <c r="DG75" s="238"/>
      <c r="DH75" s="238"/>
      <c r="DI75" s="238" t="s">
        <v>2281</v>
      </c>
      <c r="DJ75" s="238"/>
      <c r="DK75" s="238"/>
      <c r="DL75" s="238">
        <f t="shared" si="8"/>
        <v>7</v>
      </c>
    </row>
    <row r="76" spans="1:116" ht="26.25" x14ac:dyDescent="0.25">
      <c r="A76" s="111"/>
      <c r="B76" s="112" t="s">
        <v>90</v>
      </c>
      <c r="C76" s="113">
        <v>428</v>
      </c>
      <c r="D76" s="131" t="s">
        <v>44</v>
      </c>
      <c r="E76" s="124" t="s">
        <v>164</v>
      </c>
      <c r="F76" s="124" t="s">
        <v>2236</v>
      </c>
      <c r="G76" s="124" t="s">
        <v>2237</v>
      </c>
      <c r="H76" s="123" t="s">
        <v>2606</v>
      </c>
      <c r="I76" s="113" t="s">
        <v>2238</v>
      </c>
      <c r="J76" s="124" t="s">
        <v>2161</v>
      </c>
      <c r="K76" s="124" t="s">
        <v>1208</v>
      </c>
      <c r="L76" s="124" t="s">
        <v>594</v>
      </c>
      <c r="M76" s="113">
        <v>1</v>
      </c>
      <c r="N76" s="113">
        <v>4</v>
      </c>
      <c r="O76" s="113">
        <v>1</v>
      </c>
      <c r="P76" s="113">
        <v>1</v>
      </c>
      <c r="Q76" s="113">
        <v>5</v>
      </c>
      <c r="R76" s="113">
        <v>4</v>
      </c>
      <c r="S76" s="113">
        <v>5</v>
      </c>
      <c r="T76" s="113"/>
      <c r="U76" s="113"/>
      <c r="V76" s="113"/>
      <c r="W76" s="113"/>
      <c r="X76" s="113"/>
      <c r="Y76" s="113"/>
      <c r="Z76" s="113"/>
      <c r="AA76" s="113">
        <v>21</v>
      </c>
      <c r="AB76" s="113">
        <v>70</v>
      </c>
      <c r="AC76" s="125">
        <f t="shared" si="5"/>
        <v>80.5</v>
      </c>
      <c r="AD76" s="116">
        <v>1.5</v>
      </c>
      <c r="AE76" s="116"/>
      <c r="AF76" s="116"/>
      <c r="AG76" s="116"/>
      <c r="AH76" s="114">
        <v>0.15</v>
      </c>
      <c r="AI76" s="116" t="s">
        <v>2617</v>
      </c>
      <c r="AJ76" s="116" t="s">
        <v>2049</v>
      </c>
      <c r="AK76" s="114" t="s">
        <v>1820</v>
      </c>
      <c r="AL76" s="114" t="s">
        <v>1255</v>
      </c>
      <c r="AM76" s="114" t="s">
        <v>682</v>
      </c>
      <c r="AN76" s="114">
        <v>0.15</v>
      </c>
      <c r="AO76" s="114">
        <v>0.15</v>
      </c>
      <c r="AP76" s="114">
        <v>0</v>
      </c>
      <c r="AQ76" s="114">
        <v>0</v>
      </c>
      <c r="AR76" s="114">
        <v>0.15</v>
      </c>
      <c r="AS76" s="114">
        <v>0</v>
      </c>
      <c r="AT76" s="114" t="s">
        <v>952</v>
      </c>
      <c r="AU76" s="113" t="s">
        <v>1437</v>
      </c>
      <c r="AV76" s="125">
        <v>0</v>
      </c>
      <c r="AW76" s="116">
        <v>1.5</v>
      </c>
      <c r="AX76" s="116"/>
      <c r="AY76" s="116"/>
      <c r="AZ76" s="116"/>
      <c r="BA76" s="116"/>
      <c r="BB76" s="126" t="s">
        <v>2404</v>
      </c>
      <c r="BC76" s="127">
        <v>45737</v>
      </c>
      <c r="BD76" s="113" t="s">
        <v>1781</v>
      </c>
      <c r="BE76" s="113" t="s">
        <v>186</v>
      </c>
      <c r="BF76" s="116">
        <v>1.5</v>
      </c>
      <c r="BG76" s="116"/>
      <c r="BH76" s="116"/>
      <c r="BI76" s="116"/>
      <c r="BJ76" s="116"/>
      <c r="BK76" s="116"/>
      <c r="BL76" s="116"/>
      <c r="BM76" s="116">
        <v>1.5</v>
      </c>
      <c r="BN76" s="116">
        <v>1.5</v>
      </c>
      <c r="BO76" s="117" t="s">
        <v>614</v>
      </c>
      <c r="BP76" s="117">
        <v>1.5</v>
      </c>
      <c r="BQ76" s="113" t="s">
        <v>1313</v>
      </c>
      <c r="BR76" s="116">
        <v>0</v>
      </c>
      <c r="BS76" s="126" t="s">
        <v>754</v>
      </c>
      <c r="BT76" s="116" t="s">
        <v>169</v>
      </c>
      <c r="BU76" s="113" t="s">
        <v>214</v>
      </c>
      <c r="BV76" s="113" t="s">
        <v>1897</v>
      </c>
      <c r="BW76" s="113" t="s">
        <v>2562</v>
      </c>
      <c r="BX76" s="116">
        <f t="shared" si="9"/>
        <v>1.5</v>
      </c>
      <c r="BY76" s="113" t="s">
        <v>285</v>
      </c>
      <c r="BZ76" s="113" t="s">
        <v>1374</v>
      </c>
      <c r="CA76" s="113">
        <v>0</v>
      </c>
      <c r="CB76" s="113">
        <v>1.5</v>
      </c>
      <c r="CC76" s="113">
        <v>1.5</v>
      </c>
      <c r="CD76" s="113">
        <v>0</v>
      </c>
      <c r="CE76" s="117" t="s">
        <v>178</v>
      </c>
      <c r="CF76" s="118" t="s">
        <v>169</v>
      </c>
      <c r="CG76" s="117" t="s">
        <v>169</v>
      </c>
      <c r="CH76" s="117" t="s">
        <v>2643</v>
      </c>
      <c r="CI76" s="118">
        <v>0</v>
      </c>
      <c r="CJ76" s="118">
        <v>1.5</v>
      </c>
      <c r="CK76" s="119">
        <v>2025.0376000000001</v>
      </c>
      <c r="CL76" s="117" t="s">
        <v>22</v>
      </c>
      <c r="CM76" s="117">
        <v>1.5</v>
      </c>
      <c r="CN76" s="117" t="s">
        <v>289</v>
      </c>
      <c r="CO76" s="117">
        <v>1.5</v>
      </c>
      <c r="CP76" s="118" t="s">
        <v>290</v>
      </c>
      <c r="CQ76" s="124" t="s">
        <v>1516</v>
      </c>
      <c r="CR76" s="124" t="s">
        <v>1627</v>
      </c>
      <c r="CS76" s="124" t="s">
        <v>1628</v>
      </c>
      <c r="CT76" s="124" t="s">
        <v>1694</v>
      </c>
      <c r="CU76" s="124" t="s">
        <v>1712</v>
      </c>
      <c r="CV76" s="124" t="s">
        <v>1709</v>
      </c>
      <c r="CW76" s="123" t="s">
        <v>526</v>
      </c>
      <c r="CX76" s="123" t="s">
        <v>1517</v>
      </c>
      <c r="CY76" s="112" t="s">
        <v>1518</v>
      </c>
      <c r="CZ76" s="112" t="s">
        <v>1519</v>
      </c>
      <c r="DA76" s="112" t="s">
        <v>1520</v>
      </c>
      <c r="DB76" s="123" t="s">
        <v>1521</v>
      </c>
      <c r="DC76" s="123" t="s">
        <v>525</v>
      </c>
      <c r="DD76" s="123" t="s">
        <v>1522</v>
      </c>
      <c r="DE76" s="112" t="s">
        <v>1523</v>
      </c>
      <c r="DF76" s="123" t="s">
        <v>1524</v>
      </c>
      <c r="DG76" s="123" t="s">
        <v>1525</v>
      </c>
      <c r="DH76" s="112"/>
      <c r="DI76" s="112" t="s">
        <v>2281</v>
      </c>
      <c r="DJ76" s="112"/>
      <c r="DK76" s="112"/>
      <c r="DL76" s="112">
        <f t="shared" si="8"/>
        <v>11</v>
      </c>
    </row>
    <row r="77" spans="1:116" s="253" customFormat="1" ht="25.5" x14ac:dyDescent="0.2">
      <c r="A77" s="254"/>
      <c r="B77" s="255" t="s">
        <v>91</v>
      </c>
      <c r="C77" s="256">
        <v>429</v>
      </c>
      <c r="D77" s="274" t="s">
        <v>45</v>
      </c>
      <c r="E77" s="260" t="s">
        <v>480</v>
      </c>
      <c r="F77" s="258" t="s">
        <v>1352</v>
      </c>
      <c r="G77" s="258" t="s">
        <v>2230</v>
      </c>
      <c r="H77" s="258" t="s">
        <v>2593</v>
      </c>
      <c r="I77" s="259" t="s">
        <v>2231</v>
      </c>
      <c r="J77" s="258" t="s">
        <v>2162</v>
      </c>
      <c r="K77" s="260" t="s">
        <v>1209</v>
      </c>
      <c r="L77" s="260" t="s">
        <v>595</v>
      </c>
      <c r="M77" s="256" t="s">
        <v>1973</v>
      </c>
      <c r="N77" s="256" t="s">
        <v>1973</v>
      </c>
      <c r="O77" s="256" t="s">
        <v>1973</v>
      </c>
      <c r="P77" s="256" t="s">
        <v>2002</v>
      </c>
      <c r="Q77" s="256" t="s">
        <v>1973</v>
      </c>
      <c r="R77" s="260"/>
      <c r="S77" s="260"/>
      <c r="T77" s="260"/>
      <c r="U77" s="260"/>
      <c r="V77" s="260"/>
      <c r="W77" s="260"/>
      <c r="X77" s="260"/>
      <c r="Y77" s="260"/>
      <c r="Z77" s="260"/>
      <c r="AA77" s="256">
        <v>19</v>
      </c>
      <c r="AB77" s="256">
        <v>59</v>
      </c>
      <c r="AC77" s="261">
        <f t="shared" si="5"/>
        <v>68.5</v>
      </c>
      <c r="AD77" s="262">
        <v>1</v>
      </c>
      <c r="AE77" s="262" t="s">
        <v>1984</v>
      </c>
      <c r="AF77" s="262" t="s">
        <v>1984</v>
      </c>
      <c r="AG77" s="262" t="s">
        <v>1984</v>
      </c>
      <c r="AH77" s="263">
        <v>0.1</v>
      </c>
      <c r="AI77" s="262" t="s">
        <v>2617</v>
      </c>
      <c r="AJ77" s="262" t="s">
        <v>2050</v>
      </c>
      <c r="AK77" s="263" t="s">
        <v>1819</v>
      </c>
      <c r="AL77" s="263" t="s">
        <v>1276</v>
      </c>
      <c r="AM77" s="263" t="s">
        <v>681</v>
      </c>
      <c r="AN77" s="263">
        <v>0.1</v>
      </c>
      <c r="AO77" s="263">
        <v>0.1</v>
      </c>
      <c r="AP77" s="263">
        <v>0</v>
      </c>
      <c r="AQ77" s="263">
        <v>0.1</v>
      </c>
      <c r="AR77" s="263">
        <v>0.1</v>
      </c>
      <c r="AS77" s="263">
        <v>0</v>
      </c>
      <c r="AT77" s="263" t="s">
        <v>952</v>
      </c>
      <c r="AU77" s="256" t="s">
        <v>1408</v>
      </c>
      <c r="AV77" s="261">
        <v>0</v>
      </c>
      <c r="AW77" s="262">
        <v>1</v>
      </c>
      <c r="AX77" s="262"/>
      <c r="AY77" s="262"/>
      <c r="AZ77" s="262"/>
      <c r="BA77" s="262"/>
      <c r="BB77" s="269" t="s">
        <v>2405</v>
      </c>
      <c r="BC77" s="270">
        <v>45737</v>
      </c>
      <c r="BD77" s="256" t="s">
        <v>1781</v>
      </c>
      <c r="BE77" s="256" t="s">
        <v>186</v>
      </c>
      <c r="BF77" s="262">
        <v>1</v>
      </c>
      <c r="BG77" s="262"/>
      <c r="BH77" s="262"/>
      <c r="BI77" s="262"/>
      <c r="BJ77" s="262"/>
      <c r="BK77" s="262"/>
      <c r="BL77" s="262"/>
      <c r="BM77" s="262">
        <v>1</v>
      </c>
      <c r="BN77" s="262">
        <v>1</v>
      </c>
      <c r="BO77" s="265" t="s">
        <v>612</v>
      </c>
      <c r="BP77" s="265">
        <v>1</v>
      </c>
      <c r="BQ77" s="271" t="s">
        <v>1314</v>
      </c>
      <c r="BR77" s="262">
        <v>0</v>
      </c>
      <c r="BS77" s="269" t="s">
        <v>754</v>
      </c>
      <c r="BT77" s="262" t="s">
        <v>169</v>
      </c>
      <c r="BU77" s="256" t="s">
        <v>212</v>
      </c>
      <c r="BV77" s="256" t="s">
        <v>1898</v>
      </c>
      <c r="BW77" s="256" t="s">
        <v>2563</v>
      </c>
      <c r="BX77" s="262">
        <f t="shared" si="9"/>
        <v>1</v>
      </c>
      <c r="BY77" s="256" t="s">
        <v>285</v>
      </c>
      <c r="BZ77" s="256" t="s">
        <v>1375</v>
      </c>
      <c r="CA77" s="256">
        <v>0</v>
      </c>
      <c r="CB77" s="256">
        <v>1</v>
      </c>
      <c r="CC77" s="256">
        <v>1</v>
      </c>
      <c r="CD77" s="256">
        <v>0</v>
      </c>
      <c r="CE77" s="265" t="s">
        <v>178</v>
      </c>
      <c r="CF77" s="266" t="s">
        <v>169</v>
      </c>
      <c r="CG77" s="265" t="s">
        <v>169</v>
      </c>
      <c r="CH77" s="265" t="s">
        <v>2643</v>
      </c>
      <c r="CI77" s="266">
        <v>0</v>
      </c>
      <c r="CJ77" s="266">
        <v>1</v>
      </c>
      <c r="CK77" s="267">
        <v>2025.0377000000001</v>
      </c>
      <c r="CL77" s="265" t="s">
        <v>319</v>
      </c>
      <c r="CM77" s="265">
        <v>1</v>
      </c>
      <c r="CN77" s="265" t="s">
        <v>289</v>
      </c>
      <c r="CO77" s="265">
        <v>1</v>
      </c>
      <c r="CP77" s="266" t="s">
        <v>290</v>
      </c>
      <c r="CQ77" s="260" t="s">
        <v>625</v>
      </c>
      <c r="CR77" s="260" t="s">
        <v>1629</v>
      </c>
      <c r="CS77" s="260" t="s">
        <v>1630</v>
      </c>
      <c r="CT77" s="260" t="s">
        <v>1695</v>
      </c>
      <c r="CU77" s="260" t="s">
        <v>1712</v>
      </c>
      <c r="CV77" s="260" t="s">
        <v>1708</v>
      </c>
      <c r="CW77" s="255" t="s">
        <v>527</v>
      </c>
      <c r="CX77" s="255" t="s">
        <v>528</v>
      </c>
      <c r="CY77" s="255" t="s">
        <v>529</v>
      </c>
      <c r="CZ77" s="255" t="s">
        <v>530</v>
      </c>
      <c r="DA77" s="255" t="s">
        <v>531</v>
      </c>
      <c r="DB77" s="255" t="s">
        <v>532</v>
      </c>
      <c r="DC77" s="255"/>
      <c r="DD77" s="255"/>
      <c r="DE77" s="255"/>
      <c r="DF77" s="255"/>
      <c r="DG77" s="255"/>
      <c r="DH77" s="255"/>
      <c r="DI77" s="255" t="s">
        <v>2281</v>
      </c>
      <c r="DJ77" s="255"/>
      <c r="DK77" s="255"/>
      <c r="DL77" s="255">
        <f t="shared" si="8"/>
        <v>6</v>
      </c>
    </row>
    <row r="78" spans="1:116" ht="25.5" x14ac:dyDescent="0.2">
      <c r="A78" s="111"/>
      <c r="B78" s="112" t="s">
        <v>92</v>
      </c>
      <c r="C78" s="113">
        <v>430</v>
      </c>
      <c r="D78" s="131" t="s">
        <v>307</v>
      </c>
      <c r="E78" s="124" t="s">
        <v>480</v>
      </c>
      <c r="F78" s="121" t="s">
        <v>1352</v>
      </c>
      <c r="G78" s="121" t="s">
        <v>2230</v>
      </c>
      <c r="H78" s="121" t="s">
        <v>2593</v>
      </c>
      <c r="I78" s="122" t="s">
        <v>2231</v>
      </c>
      <c r="J78" s="121" t="s">
        <v>2163</v>
      </c>
      <c r="K78" s="124" t="s">
        <v>1210</v>
      </c>
      <c r="L78" s="124" t="s">
        <v>596</v>
      </c>
      <c r="M78" s="113">
        <v>6</v>
      </c>
      <c r="N78" s="113">
        <v>1</v>
      </c>
      <c r="O78" s="113">
        <v>4</v>
      </c>
      <c r="P78" s="113">
        <v>1</v>
      </c>
      <c r="Q78" s="113">
        <v>5</v>
      </c>
      <c r="R78" s="113">
        <v>4</v>
      </c>
      <c r="S78" s="113">
        <v>1</v>
      </c>
      <c r="T78" s="113">
        <v>1</v>
      </c>
      <c r="U78" s="113">
        <v>1</v>
      </c>
      <c r="V78" s="113">
        <v>5</v>
      </c>
      <c r="W78" s="113">
        <v>1</v>
      </c>
      <c r="X78" s="113">
        <v>1</v>
      </c>
      <c r="Y78" s="113">
        <v>5</v>
      </c>
      <c r="Z78" s="113">
        <v>4</v>
      </c>
      <c r="AA78" s="113">
        <v>40</v>
      </c>
      <c r="AB78" s="113">
        <v>124</v>
      </c>
      <c r="AC78" s="125">
        <f t="shared" si="5"/>
        <v>144</v>
      </c>
      <c r="AD78" s="116">
        <v>2.5</v>
      </c>
      <c r="AE78" s="116" t="s">
        <v>1984</v>
      </c>
      <c r="AF78" s="116"/>
      <c r="AG78" s="116"/>
      <c r="AH78" s="114">
        <v>0.25</v>
      </c>
      <c r="AI78" s="116" t="s">
        <v>2617</v>
      </c>
      <c r="AJ78" s="116" t="s">
        <v>2051</v>
      </c>
      <c r="AK78" s="114" t="s">
        <v>1818</v>
      </c>
      <c r="AL78" s="114" t="s">
        <v>1256</v>
      </c>
      <c r="AM78" s="114" t="s">
        <v>680</v>
      </c>
      <c r="AN78" s="114">
        <v>0.25</v>
      </c>
      <c r="AO78" s="114">
        <v>0.25</v>
      </c>
      <c r="AP78" s="114">
        <v>0</v>
      </c>
      <c r="AQ78" s="114">
        <v>0</v>
      </c>
      <c r="AR78" s="114">
        <v>0</v>
      </c>
      <c r="AS78" s="114">
        <v>0</v>
      </c>
      <c r="AT78" s="114" t="s">
        <v>952</v>
      </c>
      <c r="AU78" s="113" t="s">
        <v>1438</v>
      </c>
      <c r="AV78" s="125">
        <v>0</v>
      </c>
      <c r="AW78" s="116">
        <v>2.5</v>
      </c>
      <c r="AX78" s="116"/>
      <c r="AY78" s="116"/>
      <c r="AZ78" s="116"/>
      <c r="BA78" s="116"/>
      <c r="BB78" s="126" t="s">
        <v>2406</v>
      </c>
      <c r="BC78" s="127">
        <v>45737</v>
      </c>
      <c r="BD78" s="113" t="s">
        <v>2412</v>
      </c>
      <c r="BE78" s="113" t="s">
        <v>187</v>
      </c>
      <c r="BF78" s="116">
        <v>2.5</v>
      </c>
      <c r="BG78" s="116"/>
      <c r="BH78" s="116"/>
      <c r="BI78" s="116"/>
      <c r="BJ78" s="116"/>
      <c r="BK78" s="116"/>
      <c r="BL78" s="116"/>
      <c r="BM78" s="116">
        <v>2.5</v>
      </c>
      <c r="BN78" s="116">
        <v>2.5</v>
      </c>
      <c r="BO78" s="117" t="s">
        <v>616</v>
      </c>
      <c r="BP78" s="117">
        <v>2.5</v>
      </c>
      <c r="BQ78" s="113" t="s">
        <v>1315</v>
      </c>
      <c r="BR78" s="116">
        <v>0</v>
      </c>
      <c r="BS78" s="126" t="s">
        <v>754</v>
      </c>
      <c r="BT78" s="116" t="s">
        <v>169</v>
      </c>
      <c r="BU78" s="113" t="s">
        <v>213</v>
      </c>
      <c r="BV78" s="113" t="s">
        <v>1899</v>
      </c>
      <c r="BW78" s="113" t="s">
        <v>2564</v>
      </c>
      <c r="BX78" s="116">
        <f t="shared" si="9"/>
        <v>2.5</v>
      </c>
      <c r="BY78" s="113" t="s">
        <v>285</v>
      </c>
      <c r="BZ78" s="113" t="s">
        <v>1376</v>
      </c>
      <c r="CA78" s="113">
        <v>0</v>
      </c>
      <c r="CB78" s="113">
        <v>2.5</v>
      </c>
      <c r="CC78" s="113">
        <v>0</v>
      </c>
      <c r="CD78" s="113">
        <v>0</v>
      </c>
      <c r="CE78" s="117" t="s">
        <v>178</v>
      </c>
      <c r="CF78" s="118" t="s">
        <v>169</v>
      </c>
      <c r="CG78" s="117" t="s">
        <v>169</v>
      </c>
      <c r="CH78" s="117" t="s">
        <v>2643</v>
      </c>
      <c r="CI78" s="118">
        <v>0</v>
      </c>
      <c r="CJ78" s="118">
        <v>2.5</v>
      </c>
      <c r="CK78" s="119">
        <v>2025.0378000000001</v>
      </c>
      <c r="CL78" s="117" t="s">
        <v>319</v>
      </c>
      <c r="CM78" s="117">
        <v>2.5</v>
      </c>
      <c r="CN78" s="117" t="s">
        <v>289</v>
      </c>
      <c r="CO78" s="117">
        <v>2.5</v>
      </c>
      <c r="CP78" s="118" t="s">
        <v>290</v>
      </c>
      <c r="CQ78" s="124" t="s">
        <v>627</v>
      </c>
      <c r="CR78" s="124" t="s">
        <v>1631</v>
      </c>
      <c r="CS78" s="124" t="s">
        <v>1924</v>
      </c>
      <c r="CT78" s="124" t="s">
        <v>1696</v>
      </c>
      <c r="CU78" s="124" t="s">
        <v>1714</v>
      </c>
      <c r="CV78" s="124" t="s">
        <v>1709</v>
      </c>
      <c r="CW78" s="112" t="s">
        <v>533</v>
      </c>
      <c r="CX78" s="112" t="s">
        <v>534</v>
      </c>
      <c r="CY78" s="112" t="s">
        <v>628</v>
      </c>
      <c r="CZ78" s="112" t="s">
        <v>535</v>
      </c>
      <c r="DA78" s="112" t="s">
        <v>536</v>
      </c>
      <c r="DB78" s="112"/>
      <c r="DC78" s="112"/>
      <c r="DD78" s="112"/>
      <c r="DE78" s="112"/>
      <c r="DF78" s="112"/>
      <c r="DG78" s="112"/>
      <c r="DH78" s="112"/>
      <c r="DI78" s="112" t="s">
        <v>2281</v>
      </c>
      <c r="DJ78" s="112"/>
      <c r="DK78" s="112"/>
      <c r="DL78" s="112">
        <f t="shared" si="8"/>
        <v>5</v>
      </c>
    </row>
    <row r="79" spans="1:116" s="253" customFormat="1" ht="25.5" x14ac:dyDescent="0.2">
      <c r="A79" s="254"/>
      <c r="B79" s="255" t="s">
        <v>93</v>
      </c>
      <c r="C79" s="256">
        <v>431</v>
      </c>
      <c r="D79" s="274" t="s">
        <v>199</v>
      </c>
      <c r="E79" s="260" t="s">
        <v>480</v>
      </c>
      <c r="F79" s="258" t="s">
        <v>1352</v>
      </c>
      <c r="G79" s="258" t="s">
        <v>2230</v>
      </c>
      <c r="H79" s="258" t="s">
        <v>2593</v>
      </c>
      <c r="I79" s="259" t="s">
        <v>2231</v>
      </c>
      <c r="J79" s="258" t="s">
        <v>2164</v>
      </c>
      <c r="K79" s="260" t="s">
        <v>1211</v>
      </c>
      <c r="L79" s="260" t="s">
        <v>597</v>
      </c>
      <c r="M79" s="256">
        <v>7</v>
      </c>
      <c r="N79" s="256">
        <v>4</v>
      </c>
      <c r="O79" s="256">
        <v>6</v>
      </c>
      <c r="P79" s="256">
        <v>4</v>
      </c>
      <c r="Q79" s="256">
        <v>4</v>
      </c>
      <c r="R79" s="256">
        <v>4</v>
      </c>
      <c r="S79" s="256">
        <v>4</v>
      </c>
      <c r="T79" s="256">
        <v>4</v>
      </c>
      <c r="U79" s="256">
        <v>4</v>
      </c>
      <c r="V79" s="256"/>
      <c r="W79" s="256"/>
      <c r="X79" s="256"/>
      <c r="Y79" s="256"/>
      <c r="Z79" s="256"/>
      <c r="AA79" s="256">
        <v>41</v>
      </c>
      <c r="AB79" s="256">
        <v>146</v>
      </c>
      <c r="AC79" s="261">
        <f t="shared" si="5"/>
        <v>166.5</v>
      </c>
      <c r="AD79" s="262">
        <v>2.5</v>
      </c>
      <c r="AE79" s="262" t="s">
        <v>1984</v>
      </c>
      <c r="AF79" s="262"/>
      <c r="AG79" s="262"/>
      <c r="AH79" s="263">
        <v>0.25</v>
      </c>
      <c r="AI79" s="262" t="s">
        <v>2617</v>
      </c>
      <c r="AJ79" s="262" t="s">
        <v>2052</v>
      </c>
      <c r="AK79" s="263" t="s">
        <v>1817</v>
      </c>
      <c r="AL79" s="263" t="s">
        <v>1257</v>
      </c>
      <c r="AM79" s="263" t="s">
        <v>679</v>
      </c>
      <c r="AN79" s="263">
        <v>0.25</v>
      </c>
      <c r="AO79" s="263">
        <v>0.25</v>
      </c>
      <c r="AP79" s="263">
        <v>0.25</v>
      </c>
      <c r="AQ79" s="263">
        <v>0.25</v>
      </c>
      <c r="AR79" s="263">
        <v>0.25</v>
      </c>
      <c r="AS79" s="263">
        <v>0</v>
      </c>
      <c r="AT79" s="263" t="s">
        <v>952</v>
      </c>
      <c r="AU79" s="256" t="s">
        <v>1439</v>
      </c>
      <c r="AV79" s="261">
        <v>0</v>
      </c>
      <c r="AW79" s="262">
        <v>2.5</v>
      </c>
      <c r="AX79" s="262"/>
      <c r="AY79" s="262"/>
      <c r="AZ79" s="262"/>
      <c r="BA79" s="262"/>
      <c r="BB79" s="269" t="s">
        <v>2407</v>
      </c>
      <c r="BC79" s="270">
        <v>45737</v>
      </c>
      <c r="BD79" s="256" t="s">
        <v>1781</v>
      </c>
      <c r="BE79" s="256" t="s">
        <v>187</v>
      </c>
      <c r="BF79" s="262">
        <v>2.5</v>
      </c>
      <c r="BG79" s="262"/>
      <c r="BH79" s="262"/>
      <c r="BI79" s="262"/>
      <c r="BJ79" s="262"/>
      <c r="BK79" s="262"/>
      <c r="BL79" s="262"/>
      <c r="BM79" s="262">
        <v>2.5</v>
      </c>
      <c r="BN79" s="262">
        <v>2.5</v>
      </c>
      <c r="BO79" s="265" t="s">
        <v>616</v>
      </c>
      <c r="BP79" s="265">
        <v>2.5</v>
      </c>
      <c r="BQ79" s="256" t="s">
        <v>1316</v>
      </c>
      <c r="BR79" s="262">
        <v>0</v>
      </c>
      <c r="BS79" s="269" t="s">
        <v>754</v>
      </c>
      <c r="BT79" s="262" t="s">
        <v>169</v>
      </c>
      <c r="BU79" s="256" t="s">
        <v>479</v>
      </c>
      <c r="BV79" s="256" t="s">
        <v>1900</v>
      </c>
      <c r="BW79" s="256" t="s">
        <v>2565</v>
      </c>
      <c r="BX79" s="262">
        <f t="shared" si="9"/>
        <v>2.5</v>
      </c>
      <c r="BY79" s="256" t="s">
        <v>285</v>
      </c>
      <c r="BZ79" s="256" t="s">
        <v>1377</v>
      </c>
      <c r="CA79" s="256">
        <v>0</v>
      </c>
      <c r="CB79" s="256">
        <v>2.5</v>
      </c>
      <c r="CC79" s="256">
        <v>2.5</v>
      </c>
      <c r="CD79" s="256">
        <v>0</v>
      </c>
      <c r="CE79" s="265" t="s">
        <v>178</v>
      </c>
      <c r="CF79" s="266" t="s">
        <v>169</v>
      </c>
      <c r="CG79" s="265" t="s">
        <v>169</v>
      </c>
      <c r="CH79" s="265" t="s">
        <v>2643</v>
      </c>
      <c r="CI79" s="266">
        <v>0</v>
      </c>
      <c r="CJ79" s="266">
        <v>2.5</v>
      </c>
      <c r="CK79" s="267">
        <v>2025.0379</v>
      </c>
      <c r="CL79" s="265" t="s">
        <v>319</v>
      </c>
      <c r="CM79" s="265">
        <v>2.5</v>
      </c>
      <c r="CN79" s="265" t="s">
        <v>289</v>
      </c>
      <c r="CO79" s="265">
        <v>2.5</v>
      </c>
      <c r="CP79" s="266" t="s">
        <v>290</v>
      </c>
      <c r="CQ79" s="255" t="s">
        <v>629</v>
      </c>
      <c r="CR79" s="255" t="s">
        <v>1632</v>
      </c>
      <c r="CS79" s="255" t="s">
        <v>1633</v>
      </c>
      <c r="CT79" s="255" t="s">
        <v>1697</v>
      </c>
      <c r="CU79" s="255" t="s">
        <v>1712</v>
      </c>
      <c r="CV79" s="255" t="s">
        <v>1710</v>
      </c>
      <c r="CW79" s="255" t="s">
        <v>537</v>
      </c>
      <c r="CX79" s="255" t="s">
        <v>538</v>
      </c>
      <c r="CY79" s="255" t="s">
        <v>539</v>
      </c>
      <c r="CZ79" s="255" t="s">
        <v>540</v>
      </c>
      <c r="DA79" s="255" t="s">
        <v>541</v>
      </c>
      <c r="DB79" s="255" t="s">
        <v>542</v>
      </c>
      <c r="DC79" s="255" t="s">
        <v>543</v>
      </c>
      <c r="DD79" s="255"/>
      <c r="DE79" s="255"/>
      <c r="DF79" s="255"/>
      <c r="DG79" s="255"/>
      <c r="DH79" s="255"/>
      <c r="DI79" s="255" t="s">
        <v>2281</v>
      </c>
      <c r="DJ79" s="255"/>
      <c r="DK79" s="255"/>
      <c r="DL79" s="255">
        <f t="shared" si="8"/>
        <v>7</v>
      </c>
    </row>
    <row r="80" spans="1:116" ht="25.5" x14ac:dyDescent="0.2">
      <c r="A80" s="111"/>
      <c r="B80" s="112" t="s">
        <v>94</v>
      </c>
      <c r="C80" s="113">
        <v>432</v>
      </c>
      <c r="D80" s="131" t="s">
        <v>305</v>
      </c>
      <c r="E80" s="124" t="s">
        <v>480</v>
      </c>
      <c r="F80" s="121" t="s">
        <v>1352</v>
      </c>
      <c r="G80" s="121" t="s">
        <v>2230</v>
      </c>
      <c r="H80" s="121" t="s">
        <v>2593</v>
      </c>
      <c r="I80" s="122" t="s">
        <v>2231</v>
      </c>
      <c r="J80" s="121" t="s">
        <v>2165</v>
      </c>
      <c r="K80" s="124" t="s">
        <v>1212</v>
      </c>
      <c r="L80" s="124" t="s">
        <v>598</v>
      </c>
      <c r="M80" s="113" t="s">
        <v>1973</v>
      </c>
      <c r="N80" s="113" t="s">
        <v>1973</v>
      </c>
      <c r="O80" s="113" t="s">
        <v>1972</v>
      </c>
      <c r="P80" s="113" t="s">
        <v>1973</v>
      </c>
      <c r="Q80" s="113" t="s">
        <v>1973</v>
      </c>
      <c r="R80" s="113" t="s">
        <v>1979</v>
      </c>
      <c r="S80" s="113" t="s">
        <v>1972</v>
      </c>
      <c r="T80" s="113" t="s">
        <v>1979</v>
      </c>
      <c r="U80" s="113"/>
      <c r="V80" s="113"/>
      <c r="W80" s="113"/>
      <c r="X80" s="113"/>
      <c r="Y80" s="113"/>
      <c r="Z80" s="113"/>
      <c r="AA80" s="113">
        <v>28</v>
      </c>
      <c r="AB80" s="113">
        <v>92</v>
      </c>
      <c r="AC80" s="125">
        <f t="shared" si="5"/>
        <v>106</v>
      </c>
      <c r="AD80" s="116">
        <v>2</v>
      </c>
      <c r="AE80" s="116" t="s">
        <v>1984</v>
      </c>
      <c r="AF80" s="116"/>
      <c r="AG80" s="116"/>
      <c r="AH80" s="114">
        <v>0.15</v>
      </c>
      <c r="AI80" s="116" t="s">
        <v>2617</v>
      </c>
      <c r="AJ80" s="116" t="s">
        <v>2075</v>
      </c>
      <c r="AK80" s="114" t="s">
        <v>1918</v>
      </c>
      <c r="AL80" s="114" t="s">
        <v>1259</v>
      </c>
      <c r="AM80" s="114" t="s">
        <v>674</v>
      </c>
      <c r="AN80" s="114">
        <v>0.2</v>
      </c>
      <c r="AO80" s="114">
        <v>0.1</v>
      </c>
      <c r="AP80" s="114">
        <v>0.1</v>
      </c>
      <c r="AQ80" s="114">
        <v>0.1</v>
      </c>
      <c r="AR80" s="114">
        <v>0.2</v>
      </c>
      <c r="AS80" s="114">
        <v>0.1</v>
      </c>
      <c r="AT80" s="114" t="s">
        <v>952</v>
      </c>
      <c r="AU80" s="113" t="s">
        <v>1440</v>
      </c>
      <c r="AV80" s="125">
        <v>0</v>
      </c>
      <c r="AW80" s="116">
        <v>1.5</v>
      </c>
      <c r="AX80" s="116"/>
      <c r="AY80" s="116"/>
      <c r="AZ80" s="116"/>
      <c r="BA80" s="116"/>
      <c r="BB80" s="126" t="s">
        <v>2408</v>
      </c>
      <c r="BC80" s="127">
        <v>45737</v>
      </c>
      <c r="BD80" s="113" t="s">
        <v>1781</v>
      </c>
      <c r="BE80" s="113" t="s">
        <v>186</v>
      </c>
      <c r="BF80" s="114">
        <v>2</v>
      </c>
      <c r="BG80" s="116"/>
      <c r="BH80" s="116"/>
      <c r="BI80" s="116"/>
      <c r="BJ80" s="116"/>
      <c r="BK80" s="116"/>
      <c r="BL80" s="116"/>
      <c r="BM80" s="116">
        <v>2</v>
      </c>
      <c r="BN80" s="116">
        <v>0</v>
      </c>
      <c r="BO80" s="117" t="s">
        <v>614</v>
      </c>
      <c r="BP80" s="117">
        <v>1.5</v>
      </c>
      <c r="BQ80" s="130" t="s">
        <v>1317</v>
      </c>
      <c r="BR80" s="116">
        <v>0</v>
      </c>
      <c r="BS80" s="126" t="s">
        <v>754</v>
      </c>
      <c r="BT80" s="116" t="s">
        <v>169</v>
      </c>
      <c r="BU80" s="113" t="s">
        <v>478</v>
      </c>
      <c r="BV80" s="113" t="s">
        <v>1901</v>
      </c>
      <c r="BW80" s="113" t="s">
        <v>2566</v>
      </c>
      <c r="BX80" s="116">
        <f t="shared" si="9"/>
        <v>2</v>
      </c>
      <c r="BY80" s="113" t="s">
        <v>285</v>
      </c>
      <c r="BZ80" s="113" t="s">
        <v>1378</v>
      </c>
      <c r="CA80" s="113">
        <v>0</v>
      </c>
      <c r="CB80" s="113">
        <v>0</v>
      </c>
      <c r="CC80" s="113">
        <v>1.5</v>
      </c>
      <c r="CD80" s="113">
        <v>0</v>
      </c>
      <c r="CE80" s="117" t="s">
        <v>178</v>
      </c>
      <c r="CF80" s="118" t="s">
        <v>169</v>
      </c>
      <c r="CG80" s="117" t="s">
        <v>169</v>
      </c>
      <c r="CH80" s="117" t="s">
        <v>2643</v>
      </c>
      <c r="CI80" s="118">
        <v>0</v>
      </c>
      <c r="CJ80" s="118">
        <v>2</v>
      </c>
      <c r="CK80" s="119">
        <v>2025.038</v>
      </c>
      <c r="CL80" s="117" t="s">
        <v>319</v>
      </c>
      <c r="CM80" s="117">
        <v>2</v>
      </c>
      <c r="CN80" s="117" t="s">
        <v>289</v>
      </c>
      <c r="CO80" s="117">
        <v>2</v>
      </c>
      <c r="CP80" s="118" t="s">
        <v>290</v>
      </c>
      <c r="CQ80" s="124" t="s">
        <v>477</v>
      </c>
      <c r="CR80" s="124" t="s">
        <v>1634</v>
      </c>
      <c r="CS80" s="124" t="s">
        <v>1635</v>
      </c>
      <c r="CT80" s="124" t="s">
        <v>1698</v>
      </c>
      <c r="CU80" s="124" t="s">
        <v>1712</v>
      </c>
      <c r="CV80" s="124" t="s">
        <v>1708</v>
      </c>
      <c r="CW80" s="112" t="s">
        <v>630</v>
      </c>
      <c r="CX80" s="112" t="s">
        <v>631</v>
      </c>
      <c r="CY80" s="112" t="s">
        <v>632</v>
      </c>
      <c r="CZ80" s="112" t="s">
        <v>633</v>
      </c>
      <c r="DA80" s="112" t="s">
        <v>634</v>
      </c>
      <c r="DB80" s="112" t="s">
        <v>635</v>
      </c>
      <c r="DC80" s="112" t="s">
        <v>636</v>
      </c>
      <c r="DD80" s="112" t="s">
        <v>637</v>
      </c>
      <c r="DE80" s="112" t="s">
        <v>638</v>
      </c>
      <c r="DF80" s="112"/>
      <c r="DG80" s="112"/>
      <c r="DH80" s="112"/>
      <c r="DI80" s="112" t="s">
        <v>2281</v>
      </c>
      <c r="DJ80" s="112"/>
      <c r="DK80" s="112"/>
      <c r="DL80" s="112">
        <f t="shared" si="8"/>
        <v>9</v>
      </c>
    </row>
    <row r="81" spans="1:116" s="253" customFormat="1" ht="25.5" x14ac:dyDescent="0.2">
      <c r="A81" s="254"/>
      <c r="B81" s="255" t="s">
        <v>95</v>
      </c>
      <c r="C81" s="256">
        <v>433</v>
      </c>
      <c r="D81" s="274" t="s">
        <v>293</v>
      </c>
      <c r="E81" s="260" t="s">
        <v>480</v>
      </c>
      <c r="F81" s="258" t="s">
        <v>1352</v>
      </c>
      <c r="G81" s="258" t="s">
        <v>2230</v>
      </c>
      <c r="H81" s="258" t="s">
        <v>2593</v>
      </c>
      <c r="I81" s="259" t="s">
        <v>2231</v>
      </c>
      <c r="J81" s="258" t="s">
        <v>2166</v>
      </c>
      <c r="K81" s="260" t="s">
        <v>1320</v>
      </c>
      <c r="L81" s="260" t="s">
        <v>599</v>
      </c>
      <c r="M81" s="256">
        <v>10</v>
      </c>
      <c r="N81" s="256">
        <v>2</v>
      </c>
      <c r="O81" s="256">
        <v>3</v>
      </c>
      <c r="P81" s="256">
        <v>3</v>
      </c>
      <c r="Q81" s="256">
        <v>3</v>
      </c>
      <c r="R81" s="256">
        <v>2</v>
      </c>
      <c r="S81" s="256">
        <v>3</v>
      </c>
      <c r="T81" s="256">
        <v>2</v>
      </c>
      <c r="U81" s="256">
        <v>4</v>
      </c>
      <c r="V81" s="256">
        <v>3</v>
      </c>
      <c r="W81" s="256">
        <v>2</v>
      </c>
      <c r="X81" s="256">
        <v>10</v>
      </c>
      <c r="Y81" s="256">
        <v>8</v>
      </c>
      <c r="Z81" s="256"/>
      <c r="AA81" s="256">
        <v>55</v>
      </c>
      <c r="AB81" s="256">
        <f>60+60+23</f>
        <v>143</v>
      </c>
      <c r="AC81" s="261">
        <f t="shared" si="5"/>
        <v>170.5</v>
      </c>
      <c r="AD81" s="262">
        <v>3</v>
      </c>
      <c r="AE81" s="262" t="s">
        <v>1984</v>
      </c>
      <c r="AF81" s="262"/>
      <c r="AG81" s="262"/>
      <c r="AH81" s="261">
        <v>0</v>
      </c>
      <c r="AI81" s="262" t="s">
        <v>162</v>
      </c>
      <c r="AJ81" s="262" t="s">
        <v>2208</v>
      </c>
      <c r="AK81" s="263" t="s">
        <v>1931</v>
      </c>
      <c r="AL81" s="263" t="s">
        <v>1260</v>
      </c>
      <c r="AM81" s="263" t="s">
        <v>722</v>
      </c>
      <c r="AN81" s="263">
        <v>0.3</v>
      </c>
      <c r="AO81" s="263">
        <v>0.3</v>
      </c>
      <c r="AP81" s="263">
        <v>0</v>
      </c>
      <c r="AQ81" s="263">
        <v>0</v>
      </c>
      <c r="AR81" s="263">
        <v>0.3</v>
      </c>
      <c r="AS81" s="263">
        <v>0</v>
      </c>
      <c r="AT81" s="263" t="s">
        <v>952</v>
      </c>
      <c r="AU81" s="256" t="s">
        <v>1441</v>
      </c>
      <c r="AV81" s="261">
        <v>0</v>
      </c>
      <c r="AW81" s="262">
        <v>2.5</v>
      </c>
      <c r="AX81" s="262"/>
      <c r="AY81" s="262"/>
      <c r="AZ81" s="262"/>
      <c r="BA81" s="262"/>
      <c r="BB81" s="256" t="s">
        <v>178</v>
      </c>
      <c r="BC81" s="256" t="s">
        <v>178</v>
      </c>
      <c r="BD81" s="256" t="s">
        <v>178</v>
      </c>
      <c r="BE81" s="256" t="s">
        <v>179</v>
      </c>
      <c r="BF81" s="262">
        <v>0</v>
      </c>
      <c r="BG81" s="262"/>
      <c r="BH81" s="262"/>
      <c r="BI81" s="262"/>
      <c r="BJ81" s="262"/>
      <c r="BK81" s="262"/>
      <c r="BL81" s="262"/>
      <c r="BM81" s="262">
        <v>3</v>
      </c>
      <c r="BN81" s="262">
        <v>0</v>
      </c>
      <c r="BO81" s="265" t="s">
        <v>178</v>
      </c>
      <c r="BP81" s="265" t="s">
        <v>178</v>
      </c>
      <c r="BQ81" s="271" t="s">
        <v>179</v>
      </c>
      <c r="BR81" s="262" t="s">
        <v>179</v>
      </c>
      <c r="BS81" s="256" t="s">
        <v>179</v>
      </c>
      <c r="BT81" s="262" t="s">
        <v>169</v>
      </c>
      <c r="BU81" s="256" t="s">
        <v>178</v>
      </c>
      <c r="BV81" s="256" t="s">
        <v>1902</v>
      </c>
      <c r="BW81" s="256" t="s">
        <v>2567</v>
      </c>
      <c r="BX81" s="262">
        <v>3</v>
      </c>
      <c r="BY81" s="256" t="s">
        <v>285</v>
      </c>
      <c r="BZ81" s="256" t="s">
        <v>2636</v>
      </c>
      <c r="CA81" s="256">
        <v>0</v>
      </c>
      <c r="CB81" s="256">
        <v>3</v>
      </c>
      <c r="CC81" s="256">
        <v>3</v>
      </c>
      <c r="CD81" s="256">
        <v>0</v>
      </c>
      <c r="CE81" s="265" t="s">
        <v>178</v>
      </c>
      <c r="CF81" s="266" t="s">
        <v>169</v>
      </c>
      <c r="CG81" s="265" t="s">
        <v>169</v>
      </c>
      <c r="CH81" s="265" t="s">
        <v>2643</v>
      </c>
      <c r="CI81" s="266">
        <v>0</v>
      </c>
      <c r="CJ81" s="266">
        <v>3</v>
      </c>
      <c r="CK81" s="267">
        <v>2025.0381</v>
      </c>
      <c r="CL81" s="266" t="s">
        <v>319</v>
      </c>
      <c r="CM81" s="265">
        <v>3</v>
      </c>
      <c r="CN81" s="265" t="s">
        <v>289</v>
      </c>
      <c r="CO81" s="265">
        <v>3</v>
      </c>
      <c r="CP81" s="266" t="s">
        <v>289</v>
      </c>
      <c r="CQ81" s="260" t="s">
        <v>1246</v>
      </c>
      <c r="CR81" s="260" t="s">
        <v>1636</v>
      </c>
      <c r="CS81" s="260" t="s">
        <v>1637</v>
      </c>
      <c r="CT81" s="260" t="s">
        <v>1699</v>
      </c>
      <c r="CU81" s="260" t="s">
        <v>1712</v>
      </c>
      <c r="CV81" s="260" t="s">
        <v>1708</v>
      </c>
      <c r="CW81" s="255" t="s">
        <v>2271</v>
      </c>
      <c r="CX81" s="255" t="s">
        <v>2272</v>
      </c>
      <c r="CY81" s="255" t="s">
        <v>2273</v>
      </c>
      <c r="CZ81" s="255" t="s">
        <v>2274</v>
      </c>
      <c r="DA81" s="255" t="s">
        <v>2275</v>
      </c>
      <c r="DB81" s="255" t="s">
        <v>2276</v>
      </c>
      <c r="DC81" s="255" t="s">
        <v>2277</v>
      </c>
      <c r="DD81" s="255"/>
      <c r="DE81" s="255"/>
      <c r="DF81" s="255"/>
      <c r="DG81" s="255"/>
      <c r="DH81" s="255"/>
      <c r="DI81" s="255" t="s">
        <v>2281</v>
      </c>
      <c r="DJ81" s="255"/>
      <c r="DK81" s="255"/>
      <c r="DL81" s="255">
        <f t="shared" si="8"/>
        <v>7</v>
      </c>
    </row>
    <row r="82" spans="1:116" ht="25.5" x14ac:dyDescent="0.2">
      <c r="A82" s="111"/>
      <c r="B82" s="112" t="s">
        <v>96</v>
      </c>
      <c r="C82" s="113">
        <v>434</v>
      </c>
      <c r="D82" s="131" t="s">
        <v>46</v>
      </c>
      <c r="E82" s="124" t="s">
        <v>480</v>
      </c>
      <c r="F82" s="121" t="s">
        <v>1352</v>
      </c>
      <c r="G82" s="121" t="s">
        <v>2230</v>
      </c>
      <c r="H82" s="121" t="s">
        <v>2593</v>
      </c>
      <c r="I82" s="122" t="s">
        <v>2231</v>
      </c>
      <c r="J82" s="121" t="s">
        <v>2167</v>
      </c>
      <c r="K82" s="124" t="s">
        <v>1213</v>
      </c>
      <c r="L82" s="124" t="s">
        <v>600</v>
      </c>
      <c r="M82" s="113">
        <v>4</v>
      </c>
      <c r="N82" s="113">
        <v>4</v>
      </c>
      <c r="O82" s="113">
        <v>4</v>
      </c>
      <c r="P82" s="113">
        <v>5</v>
      </c>
      <c r="Q82" s="113">
        <v>5</v>
      </c>
      <c r="R82" s="113">
        <v>1</v>
      </c>
      <c r="S82" s="113"/>
      <c r="T82" s="113"/>
      <c r="U82" s="113"/>
      <c r="V82" s="113"/>
      <c r="W82" s="113"/>
      <c r="X82" s="113"/>
      <c r="Y82" s="113"/>
      <c r="Z82" s="113"/>
      <c r="AA82" s="113">
        <v>23</v>
      </c>
      <c r="AB82" s="113">
        <v>114</v>
      </c>
      <c r="AC82" s="125">
        <f t="shared" si="5"/>
        <v>125.5</v>
      </c>
      <c r="AD82" s="116">
        <v>2</v>
      </c>
      <c r="AE82" s="116"/>
      <c r="AF82" s="116"/>
      <c r="AG82" s="116"/>
      <c r="AH82" s="114">
        <v>0.2</v>
      </c>
      <c r="AI82" s="116" t="s">
        <v>2617</v>
      </c>
      <c r="AJ82" s="116" t="s">
        <v>2053</v>
      </c>
      <c r="AK82" s="114" t="s">
        <v>1919</v>
      </c>
      <c r="AL82" s="114" t="s">
        <v>1258</v>
      </c>
      <c r="AM82" s="114" t="s">
        <v>723</v>
      </c>
      <c r="AN82" s="114">
        <v>0.2</v>
      </c>
      <c r="AO82" s="114">
        <v>0.2</v>
      </c>
      <c r="AP82" s="114">
        <v>0.2</v>
      </c>
      <c r="AQ82" s="114">
        <v>0.2</v>
      </c>
      <c r="AR82" s="114">
        <v>0.2</v>
      </c>
      <c r="AS82" s="114">
        <v>0.2</v>
      </c>
      <c r="AT82" s="114" t="s">
        <v>952</v>
      </c>
      <c r="AU82" s="113" t="s">
        <v>1409</v>
      </c>
      <c r="AV82" s="116">
        <v>2</v>
      </c>
      <c r="AW82" s="116"/>
      <c r="AX82" s="116"/>
      <c r="AY82" s="116"/>
      <c r="AZ82" s="116"/>
      <c r="BA82" s="116"/>
      <c r="BB82" s="113" t="s">
        <v>178</v>
      </c>
      <c r="BC82" s="113" t="s">
        <v>178</v>
      </c>
      <c r="BD82" s="113" t="s">
        <v>178</v>
      </c>
      <c r="BE82" s="113" t="s">
        <v>179</v>
      </c>
      <c r="BF82" s="116">
        <v>0</v>
      </c>
      <c r="BG82" s="116"/>
      <c r="BH82" s="116"/>
      <c r="BI82" s="116"/>
      <c r="BJ82" s="116"/>
      <c r="BK82" s="116"/>
      <c r="BL82" s="116"/>
      <c r="BM82" s="116">
        <v>2</v>
      </c>
      <c r="BN82" s="116">
        <v>2</v>
      </c>
      <c r="BO82" s="117" t="s">
        <v>615</v>
      </c>
      <c r="BP82" s="117">
        <v>2</v>
      </c>
      <c r="BQ82" s="113" t="s">
        <v>1318</v>
      </c>
      <c r="BR82" s="116">
        <v>0</v>
      </c>
      <c r="BS82" s="113" t="s">
        <v>23</v>
      </c>
      <c r="BT82" s="116" t="s">
        <v>169</v>
      </c>
      <c r="BU82" s="113" t="s">
        <v>210</v>
      </c>
      <c r="BV82" s="113" t="s">
        <v>1903</v>
      </c>
      <c r="BW82" s="113" t="s">
        <v>2568</v>
      </c>
      <c r="BX82" s="116">
        <f>AN82*10</f>
        <v>2</v>
      </c>
      <c r="BY82" s="113" t="s">
        <v>285</v>
      </c>
      <c r="BZ82" s="113" t="s">
        <v>1379</v>
      </c>
      <c r="CA82" s="113">
        <v>2</v>
      </c>
      <c r="CB82" s="113">
        <v>2</v>
      </c>
      <c r="CC82" s="113">
        <v>2</v>
      </c>
      <c r="CD82" s="113">
        <v>2</v>
      </c>
      <c r="CE82" s="117" t="s">
        <v>178</v>
      </c>
      <c r="CF82" s="118" t="s">
        <v>169</v>
      </c>
      <c r="CG82" s="117" t="s">
        <v>169</v>
      </c>
      <c r="CH82" s="117" t="s">
        <v>2643</v>
      </c>
      <c r="CI82" s="118">
        <v>0</v>
      </c>
      <c r="CJ82" s="118">
        <v>2</v>
      </c>
      <c r="CK82" s="119">
        <v>2025.0382</v>
      </c>
      <c r="CL82" s="117" t="s">
        <v>317</v>
      </c>
      <c r="CM82" s="117">
        <v>2</v>
      </c>
      <c r="CN82" s="117" t="s">
        <v>289</v>
      </c>
      <c r="CO82" s="117">
        <v>2</v>
      </c>
      <c r="CP82" s="118" t="s">
        <v>290</v>
      </c>
      <c r="CQ82" s="124" t="s">
        <v>208</v>
      </c>
      <c r="CR82" s="124" t="s">
        <v>1638</v>
      </c>
      <c r="CS82" s="124" t="s">
        <v>1639</v>
      </c>
      <c r="CT82" s="124" t="s">
        <v>1700</v>
      </c>
      <c r="CU82" s="124" t="s">
        <v>1714</v>
      </c>
      <c r="CV82" s="124" t="s">
        <v>1708</v>
      </c>
      <c r="CW82" s="112" t="s">
        <v>639</v>
      </c>
      <c r="CX82" s="112" t="s">
        <v>640</v>
      </c>
      <c r="CY82" s="112" t="s">
        <v>641</v>
      </c>
      <c r="CZ82" s="112" t="s">
        <v>642</v>
      </c>
      <c r="DA82" s="112"/>
      <c r="DB82" s="112"/>
      <c r="DC82" s="112"/>
      <c r="DD82" s="112"/>
      <c r="DE82" s="112"/>
      <c r="DF82" s="112"/>
      <c r="DG82" s="112"/>
      <c r="DH82" s="112"/>
      <c r="DI82" s="112" t="s">
        <v>2281</v>
      </c>
      <c r="DJ82" s="112"/>
      <c r="DK82" s="112"/>
      <c r="DL82" s="112">
        <f t="shared" si="8"/>
        <v>4</v>
      </c>
    </row>
    <row r="83" spans="1:116" s="253" customFormat="1" ht="26.25" x14ac:dyDescent="0.25">
      <c r="A83" s="254"/>
      <c r="B83" s="255" t="s">
        <v>1939</v>
      </c>
      <c r="C83" s="256"/>
      <c r="D83" s="274" t="s">
        <v>2189</v>
      </c>
      <c r="E83" s="260" t="s">
        <v>2093</v>
      </c>
      <c r="F83" s="258" t="s">
        <v>2094</v>
      </c>
      <c r="G83" s="258" t="s">
        <v>2258</v>
      </c>
      <c r="H83" s="277" t="s">
        <v>2607</v>
      </c>
      <c r="I83" s="259" t="s">
        <v>2259</v>
      </c>
      <c r="J83" s="258" t="s">
        <v>2179</v>
      </c>
      <c r="K83" s="260"/>
      <c r="L83" s="260"/>
      <c r="M83" s="256" t="s">
        <v>1975</v>
      </c>
      <c r="N83" s="256" t="s">
        <v>1973</v>
      </c>
      <c r="O83" s="256" t="s">
        <v>1973</v>
      </c>
      <c r="P83" s="256" t="s">
        <v>1973</v>
      </c>
      <c r="Q83" s="256"/>
      <c r="R83" s="256"/>
      <c r="S83" s="256"/>
      <c r="T83" s="256"/>
      <c r="U83" s="256"/>
      <c r="V83" s="256"/>
      <c r="W83" s="256"/>
      <c r="X83" s="256"/>
      <c r="Y83" s="256"/>
      <c r="Z83" s="256"/>
      <c r="AA83" s="256">
        <v>19</v>
      </c>
      <c r="AB83" s="256">
        <v>61</v>
      </c>
      <c r="AC83" s="261">
        <f t="shared" si="5"/>
        <v>70.5</v>
      </c>
      <c r="AD83" s="262">
        <v>1</v>
      </c>
      <c r="AE83" s="262"/>
      <c r="AF83" s="262"/>
      <c r="AG83" s="262"/>
      <c r="AH83" s="261">
        <v>0</v>
      </c>
      <c r="AI83" s="262" t="s">
        <v>162</v>
      </c>
      <c r="AJ83" s="262" t="s">
        <v>2182</v>
      </c>
      <c r="AK83" s="263"/>
      <c r="AL83" s="263"/>
      <c r="AM83" s="263"/>
      <c r="AN83" s="263">
        <v>0.1</v>
      </c>
      <c r="AO83" s="263">
        <v>0.1</v>
      </c>
      <c r="AP83" s="263">
        <v>0.1</v>
      </c>
      <c r="AQ83" s="263">
        <v>0.1</v>
      </c>
      <c r="AR83" s="263">
        <v>0.1</v>
      </c>
      <c r="AS83" s="263">
        <v>0</v>
      </c>
      <c r="AT83" s="263" t="s">
        <v>952</v>
      </c>
      <c r="AU83" s="256" t="s">
        <v>2221</v>
      </c>
      <c r="AV83" s="261">
        <v>0</v>
      </c>
      <c r="AW83" s="262"/>
      <c r="AX83" s="262"/>
      <c r="AY83" s="262"/>
      <c r="AZ83" s="262"/>
      <c r="BA83" s="262"/>
      <c r="BB83" s="256" t="s">
        <v>2409</v>
      </c>
      <c r="BC83" s="264">
        <v>45737</v>
      </c>
      <c r="BD83" s="256" t="s">
        <v>1781</v>
      </c>
      <c r="BE83" s="256" t="s">
        <v>186</v>
      </c>
      <c r="BF83" s="262">
        <v>1</v>
      </c>
      <c r="BG83" s="262"/>
      <c r="BH83" s="262"/>
      <c r="BI83" s="262"/>
      <c r="BJ83" s="262"/>
      <c r="BK83" s="262"/>
      <c r="BL83" s="262"/>
      <c r="BM83" s="262">
        <v>1</v>
      </c>
      <c r="BN83" s="262">
        <v>1</v>
      </c>
      <c r="BO83" s="265" t="s">
        <v>612</v>
      </c>
      <c r="BP83" s="265">
        <v>1</v>
      </c>
      <c r="BQ83" s="256" t="s">
        <v>2330</v>
      </c>
      <c r="BR83" s="262">
        <v>1</v>
      </c>
      <c r="BS83" s="256" t="s">
        <v>23</v>
      </c>
      <c r="BT83" s="262" t="s">
        <v>169</v>
      </c>
      <c r="BU83" s="256"/>
      <c r="BV83" s="256" t="s">
        <v>2190</v>
      </c>
      <c r="BW83" s="256" t="s">
        <v>2569</v>
      </c>
      <c r="BX83" s="262">
        <f>AN83*10</f>
        <v>1</v>
      </c>
      <c r="BY83" s="256" t="s">
        <v>285</v>
      </c>
      <c r="BZ83" s="256" t="s">
        <v>2637</v>
      </c>
      <c r="CA83" s="256">
        <v>0</v>
      </c>
      <c r="CB83" s="256">
        <v>1</v>
      </c>
      <c r="CC83" s="256">
        <v>1</v>
      </c>
      <c r="CD83" s="256">
        <v>0</v>
      </c>
      <c r="CE83" s="265" t="s">
        <v>178</v>
      </c>
      <c r="CF83" s="266" t="s">
        <v>169</v>
      </c>
      <c r="CG83" s="265" t="s">
        <v>169</v>
      </c>
      <c r="CH83" s="265" t="s">
        <v>2643</v>
      </c>
      <c r="CI83" s="266">
        <v>0</v>
      </c>
      <c r="CJ83" s="266">
        <v>1</v>
      </c>
      <c r="CK83" s="267">
        <v>2025.0382999999999</v>
      </c>
      <c r="CL83" s="265" t="s">
        <v>319</v>
      </c>
      <c r="CM83" s="265">
        <v>1</v>
      </c>
      <c r="CN83" s="265" t="s">
        <v>289</v>
      </c>
      <c r="CO83" s="265">
        <v>1</v>
      </c>
      <c r="CP83" s="266" t="s">
        <v>290</v>
      </c>
      <c r="CQ83" s="260" t="s">
        <v>2199</v>
      </c>
      <c r="CR83" s="260"/>
      <c r="CS83" s="260"/>
      <c r="CT83" s="260" t="s">
        <v>2345</v>
      </c>
      <c r="CU83" s="260"/>
      <c r="CV83" s="260"/>
      <c r="CW83" s="255" t="s">
        <v>2200</v>
      </c>
      <c r="CX83" s="255" t="s">
        <v>2201</v>
      </c>
      <c r="CY83" s="255"/>
      <c r="CZ83" s="255"/>
      <c r="DA83" s="255"/>
      <c r="DB83" s="255"/>
      <c r="DC83" s="255"/>
      <c r="DD83" s="255"/>
      <c r="DE83" s="255"/>
      <c r="DF83" s="255"/>
      <c r="DG83" s="255"/>
      <c r="DH83" s="255"/>
      <c r="DI83" s="255" t="s">
        <v>2281</v>
      </c>
      <c r="DJ83" s="255"/>
      <c r="DK83" s="255"/>
      <c r="DL83" s="255">
        <f t="shared" si="8"/>
        <v>2</v>
      </c>
    </row>
    <row r="84" spans="1:116" ht="25.5" x14ac:dyDescent="0.2">
      <c r="A84" s="111"/>
      <c r="B84" s="112" t="s">
        <v>2092</v>
      </c>
      <c r="C84" s="113"/>
      <c r="D84" s="131" t="s">
        <v>2188</v>
      </c>
      <c r="E84" s="124" t="s">
        <v>2093</v>
      </c>
      <c r="F84" s="121" t="s">
        <v>2094</v>
      </c>
      <c r="G84" s="121" t="s">
        <v>2258</v>
      </c>
      <c r="H84" s="121" t="s">
        <v>2607</v>
      </c>
      <c r="I84" s="122" t="s">
        <v>2259</v>
      </c>
      <c r="J84" s="121" t="s">
        <v>2180</v>
      </c>
      <c r="K84" s="124"/>
      <c r="L84" s="124"/>
      <c r="M84" s="113" t="s">
        <v>1973</v>
      </c>
      <c r="N84" s="113" t="s">
        <v>1973</v>
      </c>
      <c r="O84" s="113" t="s">
        <v>1973</v>
      </c>
      <c r="P84" s="113" t="s">
        <v>1973</v>
      </c>
      <c r="Q84" s="113" t="s">
        <v>1973</v>
      </c>
      <c r="R84" s="113"/>
      <c r="S84" s="113"/>
      <c r="T84" s="113"/>
      <c r="U84" s="113"/>
      <c r="V84" s="113"/>
      <c r="W84" s="113"/>
      <c r="X84" s="113"/>
      <c r="Y84" s="113"/>
      <c r="Z84" s="113"/>
      <c r="AA84" s="113">
        <v>20</v>
      </c>
      <c r="AB84" s="113">
        <v>54</v>
      </c>
      <c r="AC84" s="125">
        <f t="shared" si="5"/>
        <v>64</v>
      </c>
      <c r="AD84" s="116">
        <v>1</v>
      </c>
      <c r="AE84" s="116"/>
      <c r="AF84" s="116"/>
      <c r="AG84" s="116"/>
      <c r="AH84" s="125">
        <v>0</v>
      </c>
      <c r="AI84" s="116" t="s">
        <v>162</v>
      </c>
      <c r="AJ84" s="116" t="s">
        <v>2183</v>
      </c>
      <c r="AK84" s="114"/>
      <c r="AL84" s="114"/>
      <c r="AM84" s="114"/>
      <c r="AN84" s="114">
        <v>0.1</v>
      </c>
      <c r="AO84" s="114">
        <v>0.1</v>
      </c>
      <c r="AP84" s="114">
        <v>0.1</v>
      </c>
      <c r="AQ84" s="114">
        <v>0.1</v>
      </c>
      <c r="AR84" s="114">
        <v>0.1</v>
      </c>
      <c r="AS84" s="114">
        <v>0</v>
      </c>
      <c r="AT84" s="114" t="s">
        <v>952</v>
      </c>
      <c r="AU84" s="113" t="s">
        <v>2221</v>
      </c>
      <c r="AV84" s="125">
        <v>0</v>
      </c>
      <c r="AW84" s="116"/>
      <c r="AX84" s="116"/>
      <c r="AY84" s="116"/>
      <c r="AZ84" s="116"/>
      <c r="BA84" s="116"/>
      <c r="BB84" s="113" t="s">
        <v>2410</v>
      </c>
      <c r="BC84" s="128">
        <v>45737</v>
      </c>
      <c r="BD84" s="113" t="s">
        <v>1781</v>
      </c>
      <c r="BE84" s="113" t="s">
        <v>186</v>
      </c>
      <c r="BF84" s="116">
        <v>1</v>
      </c>
      <c r="BG84" s="116"/>
      <c r="BH84" s="116"/>
      <c r="BI84" s="116"/>
      <c r="BJ84" s="116"/>
      <c r="BK84" s="116"/>
      <c r="BL84" s="116"/>
      <c r="BM84" s="116">
        <v>1</v>
      </c>
      <c r="BN84" s="116">
        <v>1</v>
      </c>
      <c r="BO84" s="117" t="s">
        <v>612</v>
      </c>
      <c r="BP84" s="117">
        <v>1</v>
      </c>
      <c r="BQ84" s="113" t="s">
        <v>2331</v>
      </c>
      <c r="BR84" s="116">
        <v>1</v>
      </c>
      <c r="BS84" s="113" t="s">
        <v>23</v>
      </c>
      <c r="BT84" s="116" t="s">
        <v>169</v>
      </c>
      <c r="BU84" s="113"/>
      <c r="BV84" s="113" t="s">
        <v>2191</v>
      </c>
      <c r="BW84" s="113" t="s">
        <v>2570</v>
      </c>
      <c r="BX84" s="116">
        <f>AN84*10</f>
        <v>1</v>
      </c>
      <c r="BY84" s="113" t="s">
        <v>285</v>
      </c>
      <c r="BZ84" s="113" t="s">
        <v>2638</v>
      </c>
      <c r="CA84" s="113">
        <v>0</v>
      </c>
      <c r="CB84" s="113">
        <v>1</v>
      </c>
      <c r="CC84" s="113">
        <v>1</v>
      </c>
      <c r="CD84" s="113">
        <v>0</v>
      </c>
      <c r="CE84" s="117" t="s">
        <v>178</v>
      </c>
      <c r="CF84" s="118" t="s">
        <v>169</v>
      </c>
      <c r="CG84" s="117" t="s">
        <v>169</v>
      </c>
      <c r="CH84" s="117" t="s">
        <v>2643</v>
      </c>
      <c r="CI84" s="118">
        <v>0</v>
      </c>
      <c r="CJ84" s="118">
        <v>1</v>
      </c>
      <c r="CK84" s="119">
        <v>2025.0383999999999</v>
      </c>
      <c r="CL84" s="117" t="s">
        <v>319</v>
      </c>
      <c r="CM84" s="117">
        <v>1</v>
      </c>
      <c r="CN84" s="117" t="s">
        <v>289</v>
      </c>
      <c r="CO84" s="117">
        <v>1</v>
      </c>
      <c r="CP84" s="118" t="s">
        <v>290</v>
      </c>
      <c r="CQ84" s="124" t="s">
        <v>2202</v>
      </c>
      <c r="CR84" s="124"/>
      <c r="CS84" s="124"/>
      <c r="CT84" s="124" t="s">
        <v>2345</v>
      </c>
      <c r="CU84" s="124"/>
      <c r="CV84" s="124"/>
      <c r="CW84" s="112" t="s">
        <v>2203</v>
      </c>
      <c r="CX84" s="112" t="s">
        <v>2204</v>
      </c>
      <c r="CY84" s="112"/>
      <c r="CZ84" s="112"/>
      <c r="DA84" s="112"/>
      <c r="DB84" s="112"/>
      <c r="DC84" s="112"/>
      <c r="DD84" s="112"/>
      <c r="DE84" s="112"/>
      <c r="DF84" s="112"/>
      <c r="DG84" s="112"/>
      <c r="DH84" s="112"/>
      <c r="DI84" s="112" t="s">
        <v>2281</v>
      </c>
      <c r="DJ84" s="112"/>
      <c r="DK84" s="112"/>
      <c r="DL84" s="112">
        <f t="shared" si="8"/>
        <v>2</v>
      </c>
    </row>
    <row r="85" spans="1:116" s="253" customFormat="1" ht="25.5" x14ac:dyDescent="0.2">
      <c r="A85" s="254"/>
      <c r="B85" s="255" t="s">
        <v>2185</v>
      </c>
      <c r="C85" s="256"/>
      <c r="D85" s="274" t="s">
        <v>2187</v>
      </c>
      <c r="E85" s="260" t="s">
        <v>2093</v>
      </c>
      <c r="F85" s="258" t="s">
        <v>2094</v>
      </c>
      <c r="G85" s="258" t="s">
        <v>2258</v>
      </c>
      <c r="H85" s="258" t="s">
        <v>2607</v>
      </c>
      <c r="I85" s="259" t="s">
        <v>2259</v>
      </c>
      <c r="J85" s="258" t="s">
        <v>2181</v>
      </c>
      <c r="K85" s="260"/>
      <c r="L85" s="260"/>
      <c r="M85" s="256" t="s">
        <v>1973</v>
      </c>
      <c r="N85" s="256" t="s">
        <v>1973</v>
      </c>
      <c r="O85" s="256" t="s">
        <v>1973</v>
      </c>
      <c r="P85" s="256" t="s">
        <v>1978</v>
      </c>
      <c r="Q85" s="256"/>
      <c r="R85" s="256"/>
      <c r="S85" s="256"/>
      <c r="T85" s="256"/>
      <c r="U85" s="256"/>
      <c r="V85" s="256"/>
      <c r="W85" s="256"/>
      <c r="X85" s="256"/>
      <c r="Y85" s="256"/>
      <c r="Z85" s="256"/>
      <c r="AA85" s="256">
        <v>14</v>
      </c>
      <c r="AB85" s="256">
        <v>55</v>
      </c>
      <c r="AC85" s="261">
        <f t="shared" si="5"/>
        <v>62</v>
      </c>
      <c r="AD85" s="262">
        <v>1</v>
      </c>
      <c r="AE85" s="262"/>
      <c r="AF85" s="262"/>
      <c r="AG85" s="262"/>
      <c r="AH85" s="261">
        <v>0</v>
      </c>
      <c r="AI85" s="262" t="s">
        <v>162</v>
      </c>
      <c r="AJ85" s="262" t="s">
        <v>2184</v>
      </c>
      <c r="AK85" s="263"/>
      <c r="AL85" s="263"/>
      <c r="AM85" s="263"/>
      <c r="AN85" s="263">
        <v>0.1</v>
      </c>
      <c r="AO85" s="263">
        <v>0.1</v>
      </c>
      <c r="AP85" s="263">
        <v>0.1</v>
      </c>
      <c r="AQ85" s="263">
        <v>0.1</v>
      </c>
      <c r="AR85" s="263">
        <v>0.1</v>
      </c>
      <c r="AS85" s="263">
        <v>0</v>
      </c>
      <c r="AT85" s="263" t="s">
        <v>952</v>
      </c>
      <c r="AU85" s="256" t="s">
        <v>2221</v>
      </c>
      <c r="AV85" s="261">
        <v>0</v>
      </c>
      <c r="AW85" s="262"/>
      <c r="AX85" s="262"/>
      <c r="AY85" s="262"/>
      <c r="AZ85" s="262"/>
      <c r="BA85" s="262"/>
      <c r="BB85" s="256" t="s">
        <v>2411</v>
      </c>
      <c r="BC85" s="264">
        <v>45737</v>
      </c>
      <c r="BD85" s="256" t="s">
        <v>1781</v>
      </c>
      <c r="BE85" s="256" t="s">
        <v>186</v>
      </c>
      <c r="BF85" s="262">
        <v>1</v>
      </c>
      <c r="BG85" s="262"/>
      <c r="BH85" s="262"/>
      <c r="BI85" s="262"/>
      <c r="BJ85" s="262"/>
      <c r="BK85" s="262"/>
      <c r="BL85" s="262"/>
      <c r="BM85" s="262">
        <v>1</v>
      </c>
      <c r="BN85" s="262">
        <v>1</v>
      </c>
      <c r="BO85" s="265" t="s">
        <v>612</v>
      </c>
      <c r="BP85" s="265">
        <v>1</v>
      </c>
      <c r="BQ85" s="256" t="s">
        <v>2332</v>
      </c>
      <c r="BR85" s="262">
        <v>1</v>
      </c>
      <c r="BS85" s="256" t="s">
        <v>23</v>
      </c>
      <c r="BT85" s="262" t="s">
        <v>169</v>
      </c>
      <c r="BU85" s="256"/>
      <c r="BV85" s="256" t="s">
        <v>2192</v>
      </c>
      <c r="BW85" s="256" t="s">
        <v>2571</v>
      </c>
      <c r="BX85" s="262">
        <f>AN85*10</f>
        <v>1</v>
      </c>
      <c r="BY85" s="256" t="s">
        <v>285</v>
      </c>
      <c r="BZ85" s="256" t="s">
        <v>2639</v>
      </c>
      <c r="CA85" s="256">
        <v>0</v>
      </c>
      <c r="CB85" s="256">
        <v>1</v>
      </c>
      <c r="CC85" s="256">
        <v>1</v>
      </c>
      <c r="CD85" s="256">
        <v>0</v>
      </c>
      <c r="CE85" s="265" t="s">
        <v>178</v>
      </c>
      <c r="CF85" s="266" t="s">
        <v>169</v>
      </c>
      <c r="CG85" s="265" t="s">
        <v>169</v>
      </c>
      <c r="CH85" s="265" t="s">
        <v>2643</v>
      </c>
      <c r="CI85" s="266">
        <v>0</v>
      </c>
      <c r="CJ85" s="266">
        <v>1</v>
      </c>
      <c r="CK85" s="267">
        <v>2025.0385000000001</v>
      </c>
      <c r="CL85" s="265" t="s">
        <v>319</v>
      </c>
      <c r="CM85" s="265">
        <v>1</v>
      </c>
      <c r="CN85" s="265" t="s">
        <v>289</v>
      </c>
      <c r="CO85" s="265">
        <v>1</v>
      </c>
      <c r="CP85" s="266" t="s">
        <v>290</v>
      </c>
      <c r="CQ85" s="260" t="s">
        <v>2193</v>
      </c>
      <c r="CR85" s="255"/>
      <c r="CS85" s="255"/>
      <c r="CT85" s="260" t="s">
        <v>2345</v>
      </c>
      <c r="CU85" s="255"/>
      <c r="CV85" s="260"/>
      <c r="CW85" s="260" t="s">
        <v>2194</v>
      </c>
      <c r="CX85" s="260" t="s">
        <v>2195</v>
      </c>
      <c r="CY85" s="260" t="s">
        <v>2196</v>
      </c>
      <c r="CZ85" s="260" t="s">
        <v>2197</v>
      </c>
      <c r="DA85" s="255" t="s">
        <v>2198</v>
      </c>
      <c r="DB85" s="255"/>
      <c r="DC85" s="255"/>
      <c r="DD85" s="255"/>
      <c r="DE85" s="255"/>
      <c r="DF85" s="255"/>
      <c r="DG85" s="255"/>
      <c r="DH85" s="255"/>
      <c r="DI85" s="255" t="s">
        <v>2281</v>
      </c>
      <c r="DJ85" s="255"/>
      <c r="DK85" s="255"/>
      <c r="DL85" s="255">
        <f t="shared" si="8"/>
        <v>5</v>
      </c>
    </row>
    <row r="86" spans="1:116" ht="26.25" thickBot="1" x14ac:dyDescent="0.25">
      <c r="A86" s="196"/>
      <c r="B86" s="197" t="s">
        <v>2186</v>
      </c>
      <c r="C86" s="198"/>
      <c r="D86" s="215" t="s">
        <v>1953</v>
      </c>
      <c r="E86" s="202" t="s">
        <v>480</v>
      </c>
      <c r="F86" s="200" t="s">
        <v>1352</v>
      </c>
      <c r="G86" s="200" t="s">
        <v>2230</v>
      </c>
      <c r="H86" s="200"/>
      <c r="I86" s="201" t="s">
        <v>2231</v>
      </c>
      <c r="J86" s="200"/>
      <c r="K86" s="202"/>
      <c r="L86" s="202"/>
      <c r="M86" s="198"/>
      <c r="N86" s="198"/>
      <c r="O86" s="198"/>
      <c r="P86" s="198"/>
      <c r="Q86" s="198"/>
      <c r="R86" s="198"/>
      <c r="S86" s="198"/>
      <c r="T86" s="198"/>
      <c r="U86" s="198"/>
      <c r="V86" s="198"/>
      <c r="W86" s="198"/>
      <c r="X86" s="198"/>
      <c r="Y86" s="198"/>
      <c r="Z86" s="198"/>
      <c r="AA86" s="198"/>
      <c r="AB86" s="198"/>
      <c r="AC86" s="203">
        <f t="shared" si="5"/>
        <v>0</v>
      </c>
      <c r="AD86" s="204">
        <v>2</v>
      </c>
      <c r="AE86" s="204"/>
      <c r="AF86" s="204"/>
      <c r="AG86" s="204"/>
      <c r="AH86" s="203">
        <v>0</v>
      </c>
      <c r="AI86" s="204" t="s">
        <v>162</v>
      </c>
      <c r="AJ86" s="204" t="s">
        <v>2068</v>
      </c>
      <c r="AK86" s="205" t="s">
        <v>1948</v>
      </c>
      <c r="AL86" s="205"/>
      <c r="AM86" s="205"/>
      <c r="AN86" s="205">
        <v>0.2</v>
      </c>
      <c r="AO86" s="205">
        <v>0</v>
      </c>
      <c r="AP86" s="205">
        <v>0</v>
      </c>
      <c r="AQ86" s="205">
        <v>0</v>
      </c>
      <c r="AR86" s="205">
        <v>0.2</v>
      </c>
      <c r="AS86" s="205">
        <v>0.2</v>
      </c>
      <c r="AT86" s="205" t="s">
        <v>952</v>
      </c>
      <c r="AU86" s="198" t="s">
        <v>2221</v>
      </c>
      <c r="AV86" s="203">
        <v>0</v>
      </c>
      <c r="AW86" s="204"/>
      <c r="AX86" s="204"/>
      <c r="AY86" s="204"/>
      <c r="AZ86" s="204"/>
      <c r="BA86" s="204"/>
      <c r="BB86" s="198" t="s">
        <v>178</v>
      </c>
      <c r="BC86" s="198"/>
      <c r="BD86" s="198" t="s">
        <v>178</v>
      </c>
      <c r="BE86" s="198" t="s">
        <v>179</v>
      </c>
      <c r="BF86" s="204">
        <v>0</v>
      </c>
      <c r="BG86" s="204"/>
      <c r="BH86" s="204"/>
      <c r="BI86" s="204"/>
      <c r="BJ86" s="204"/>
      <c r="BK86" s="204"/>
      <c r="BL86" s="204"/>
      <c r="BM86" s="204" t="s">
        <v>169</v>
      </c>
      <c r="BN86" s="204" t="s">
        <v>169</v>
      </c>
      <c r="BO86" s="208" t="s">
        <v>169</v>
      </c>
      <c r="BP86" s="208" t="s">
        <v>169</v>
      </c>
      <c r="BQ86" s="198" t="s">
        <v>169</v>
      </c>
      <c r="BR86" s="204" t="s">
        <v>169</v>
      </c>
      <c r="BS86" s="198" t="s">
        <v>169</v>
      </c>
      <c r="BT86" s="204" t="s">
        <v>169</v>
      </c>
      <c r="BU86" s="198"/>
      <c r="BV86" s="198" t="s">
        <v>1952</v>
      </c>
      <c r="BW86" s="198" t="s">
        <v>2572</v>
      </c>
      <c r="BX86" s="204">
        <v>2</v>
      </c>
      <c r="BY86" s="198" t="s">
        <v>285</v>
      </c>
      <c r="BZ86" s="198" t="s">
        <v>169</v>
      </c>
      <c r="CA86" s="198" t="s">
        <v>169</v>
      </c>
      <c r="CB86" s="198" t="s">
        <v>169</v>
      </c>
      <c r="CC86" s="198" t="s">
        <v>169</v>
      </c>
      <c r="CD86" s="198" t="s">
        <v>169</v>
      </c>
      <c r="CE86" s="208" t="s">
        <v>178</v>
      </c>
      <c r="CF86" s="210" t="s">
        <v>169</v>
      </c>
      <c r="CG86" s="208" t="s">
        <v>169</v>
      </c>
      <c r="CH86" s="208" t="s">
        <v>2643</v>
      </c>
      <c r="CI86" s="210">
        <v>0</v>
      </c>
      <c r="CJ86" s="210">
        <v>2</v>
      </c>
      <c r="CK86" s="211">
        <v>2025.0386000000001</v>
      </c>
      <c r="CL86" s="208" t="s">
        <v>319</v>
      </c>
      <c r="CM86" s="208">
        <v>2</v>
      </c>
      <c r="CN86" s="208" t="s">
        <v>289</v>
      </c>
      <c r="CO86" s="208">
        <v>2</v>
      </c>
      <c r="CP86" s="210" t="s">
        <v>290</v>
      </c>
      <c r="CQ86" s="202" t="s">
        <v>1947</v>
      </c>
      <c r="CR86" s="202"/>
      <c r="CS86" s="202"/>
      <c r="CT86" s="202"/>
      <c r="CU86" s="202"/>
      <c r="CV86" s="202"/>
      <c r="CW86" s="197" t="s">
        <v>1940</v>
      </c>
      <c r="CX86" s="197" t="s">
        <v>1941</v>
      </c>
      <c r="CY86" s="197" t="s">
        <v>1942</v>
      </c>
      <c r="CZ86" s="197" t="s">
        <v>1943</v>
      </c>
      <c r="DA86" s="197" t="s">
        <v>1944</v>
      </c>
      <c r="DB86" s="197" t="s">
        <v>1945</v>
      </c>
      <c r="DC86" s="197" t="s">
        <v>1946</v>
      </c>
      <c r="DD86" s="197"/>
      <c r="DE86" s="197"/>
      <c r="DF86" s="197"/>
      <c r="DG86" s="197"/>
      <c r="DH86" s="197"/>
      <c r="DI86" s="197"/>
      <c r="DJ86" s="197"/>
      <c r="DK86" s="197"/>
      <c r="DL86" s="197">
        <f t="shared" si="8"/>
        <v>7</v>
      </c>
    </row>
    <row r="87" spans="1:116" s="195" customFormat="1" ht="14.25" thickTop="1" thickBot="1" x14ac:dyDescent="0.25">
      <c r="A87" s="311"/>
      <c r="B87" s="178"/>
      <c r="C87" s="179"/>
      <c r="D87" s="180" t="s">
        <v>484</v>
      </c>
      <c r="E87" s="181"/>
      <c r="F87" s="181"/>
      <c r="G87" s="181"/>
      <c r="H87" s="181"/>
      <c r="I87" s="182"/>
      <c r="J87" s="181"/>
      <c r="K87" s="213"/>
      <c r="L87" s="213"/>
      <c r="M87" s="213"/>
      <c r="N87" s="213"/>
      <c r="O87" s="213"/>
      <c r="P87" s="213"/>
      <c r="Q87" s="213"/>
      <c r="R87" s="213"/>
      <c r="S87" s="213"/>
      <c r="T87" s="213"/>
      <c r="U87" s="213"/>
      <c r="V87" s="213"/>
      <c r="W87" s="213"/>
      <c r="X87" s="213"/>
      <c r="Y87" s="213"/>
      <c r="Z87" s="213"/>
      <c r="AA87" s="213"/>
      <c r="AB87" s="213"/>
      <c r="AC87" s="214"/>
      <c r="AD87" s="189"/>
      <c r="AE87" s="189"/>
      <c r="AF87" s="189"/>
      <c r="AG87" s="189"/>
      <c r="AH87" s="187"/>
      <c r="AI87" s="189"/>
      <c r="AJ87" s="189"/>
      <c r="AK87" s="187"/>
      <c r="AL87" s="187"/>
      <c r="AM87" s="187"/>
      <c r="AN87" s="187"/>
      <c r="AO87" s="187"/>
      <c r="AP87" s="187"/>
      <c r="AQ87" s="187"/>
      <c r="AR87" s="187"/>
      <c r="AS87" s="187"/>
      <c r="AT87" s="187"/>
      <c r="AU87" s="179"/>
      <c r="AV87" s="189"/>
      <c r="AW87" s="189"/>
      <c r="AX87" s="189"/>
      <c r="AY87" s="189"/>
      <c r="AZ87" s="189"/>
      <c r="BA87" s="189"/>
      <c r="BB87" s="179"/>
      <c r="BC87" s="179"/>
      <c r="BD87" s="179"/>
      <c r="BE87" s="179"/>
      <c r="BF87" s="189"/>
      <c r="BG87" s="189"/>
      <c r="BH87" s="189"/>
      <c r="BI87" s="189"/>
      <c r="BJ87" s="189"/>
      <c r="BK87" s="189"/>
      <c r="BL87" s="189"/>
      <c r="BM87" s="189"/>
      <c r="BN87" s="189"/>
      <c r="BO87" s="190"/>
      <c r="BP87" s="190"/>
      <c r="BQ87" s="179"/>
      <c r="BR87" s="189"/>
      <c r="BS87" s="179"/>
      <c r="BT87" s="189"/>
      <c r="BU87" s="179"/>
      <c r="BV87" s="179"/>
      <c r="BW87" s="179"/>
      <c r="BX87" s="189"/>
      <c r="BY87" s="179"/>
      <c r="BZ87" s="179"/>
      <c r="CA87" s="179"/>
      <c r="CB87" s="179"/>
      <c r="CC87" s="179"/>
      <c r="CD87" s="179"/>
      <c r="CE87" s="190"/>
      <c r="CF87" s="193"/>
      <c r="CG87" s="190"/>
      <c r="CH87" s="190"/>
      <c r="CI87" s="193"/>
      <c r="CJ87" s="193"/>
      <c r="CK87" s="194"/>
      <c r="CL87" s="190"/>
      <c r="CM87" s="190"/>
      <c r="CN87" s="190"/>
      <c r="CO87" s="190"/>
      <c r="CP87" s="193"/>
      <c r="CQ87" s="181"/>
      <c r="CR87" s="181"/>
      <c r="CS87" s="181"/>
      <c r="CT87" s="181"/>
      <c r="CU87" s="181"/>
      <c r="CV87" s="181"/>
      <c r="CW87" s="178"/>
      <c r="CX87" s="178"/>
      <c r="CY87" s="178"/>
      <c r="CZ87" s="178"/>
      <c r="DA87" s="178"/>
      <c r="DB87" s="178"/>
      <c r="DC87" s="178"/>
      <c r="DD87" s="178"/>
      <c r="DE87" s="178"/>
      <c r="DF87" s="178"/>
      <c r="DG87" s="178"/>
      <c r="DH87" s="178"/>
      <c r="DI87" s="178"/>
      <c r="DJ87" s="178"/>
      <c r="DK87" s="178"/>
      <c r="DL87" s="178"/>
    </row>
    <row r="88" spans="1:116" s="253" customFormat="1" ht="26.25" thickTop="1" x14ac:dyDescent="0.2">
      <c r="A88" s="237"/>
      <c r="B88" s="238" t="s">
        <v>494</v>
      </c>
      <c r="C88" s="239">
        <v>435</v>
      </c>
      <c r="D88" s="272" t="s">
        <v>21</v>
      </c>
      <c r="E88" s="244" t="s">
        <v>480</v>
      </c>
      <c r="F88" s="241" t="s">
        <v>1352</v>
      </c>
      <c r="G88" s="241" t="s">
        <v>2230</v>
      </c>
      <c r="H88" s="241" t="s">
        <v>2593</v>
      </c>
      <c r="I88" s="242" t="s">
        <v>2231</v>
      </c>
      <c r="J88" s="241" t="s">
        <v>2168</v>
      </c>
      <c r="K88" s="244" t="s">
        <v>1189</v>
      </c>
      <c r="L88" s="244" t="s">
        <v>601</v>
      </c>
      <c r="M88" s="239">
        <v>1</v>
      </c>
      <c r="N88" s="239">
        <v>8</v>
      </c>
      <c r="O88" s="239">
        <v>5</v>
      </c>
      <c r="P88" s="239">
        <v>1</v>
      </c>
      <c r="Q88" s="239">
        <v>5</v>
      </c>
      <c r="R88" s="239">
        <v>3</v>
      </c>
      <c r="S88" s="239">
        <v>1</v>
      </c>
      <c r="T88" s="239">
        <v>4</v>
      </c>
      <c r="U88" s="239"/>
      <c r="V88" s="244"/>
      <c r="W88" s="244"/>
      <c r="X88" s="244"/>
      <c r="Y88" s="244"/>
      <c r="Z88" s="244"/>
      <c r="AA88" s="239">
        <v>28</v>
      </c>
      <c r="AB88" s="239">
        <v>119</v>
      </c>
      <c r="AC88" s="245">
        <f t="shared" ref="AC88:AC99" si="10">AB88+(AA88*(30/60))</f>
        <v>133</v>
      </c>
      <c r="AD88" s="246">
        <v>2.5</v>
      </c>
      <c r="AE88" s="246"/>
      <c r="AF88" s="246"/>
      <c r="AG88" s="246"/>
      <c r="AH88" s="247">
        <v>0.25</v>
      </c>
      <c r="AI88" s="246" t="s">
        <v>298</v>
      </c>
      <c r="AJ88" s="246" t="s">
        <v>2018</v>
      </c>
      <c r="AK88" s="247" t="s">
        <v>1834</v>
      </c>
      <c r="AL88" s="247" t="s">
        <v>1100</v>
      </c>
      <c r="AM88" s="247" t="s">
        <v>714</v>
      </c>
      <c r="AN88" s="247">
        <v>0.25</v>
      </c>
      <c r="AO88" s="247">
        <v>0.25</v>
      </c>
      <c r="AP88" s="247">
        <v>0.25</v>
      </c>
      <c r="AQ88" s="247">
        <v>0.25</v>
      </c>
      <c r="AR88" s="247">
        <v>0.25</v>
      </c>
      <c r="AS88" s="247">
        <v>0.25</v>
      </c>
      <c r="AT88" s="247" t="s">
        <v>952</v>
      </c>
      <c r="AU88" s="239" t="s">
        <v>1417</v>
      </c>
      <c r="AV88" s="245">
        <v>0</v>
      </c>
      <c r="AW88" s="246">
        <v>2</v>
      </c>
      <c r="AX88" s="246"/>
      <c r="AY88" s="246"/>
      <c r="AZ88" s="246"/>
      <c r="BA88" s="246"/>
      <c r="BB88" s="239" t="s">
        <v>2413</v>
      </c>
      <c r="BC88" s="273">
        <v>45737</v>
      </c>
      <c r="BD88" s="239" t="s">
        <v>182</v>
      </c>
      <c r="BE88" s="239" t="s">
        <v>186</v>
      </c>
      <c r="BF88" s="246">
        <v>2.5</v>
      </c>
      <c r="BG88" s="246"/>
      <c r="BH88" s="246"/>
      <c r="BI88" s="246"/>
      <c r="BJ88" s="246"/>
      <c r="BK88" s="246"/>
      <c r="BL88" s="246"/>
      <c r="BM88" s="246">
        <v>2.5</v>
      </c>
      <c r="BN88" s="246">
        <v>2.5</v>
      </c>
      <c r="BO88" s="250" t="s">
        <v>616</v>
      </c>
      <c r="BP88" s="250">
        <v>2.5</v>
      </c>
      <c r="BQ88" s="239" t="s">
        <v>1303</v>
      </c>
      <c r="BR88" s="246">
        <v>2.5</v>
      </c>
      <c r="BS88" s="239" t="s">
        <v>23</v>
      </c>
      <c r="BT88" s="246" t="s">
        <v>169</v>
      </c>
      <c r="BU88" s="239" t="s">
        <v>114</v>
      </c>
      <c r="BV88" s="239" t="s">
        <v>1904</v>
      </c>
      <c r="BW88" s="239" t="s">
        <v>2573</v>
      </c>
      <c r="BX88" s="246">
        <f>AN88*10</f>
        <v>2.5</v>
      </c>
      <c r="BY88" s="239" t="s">
        <v>149</v>
      </c>
      <c r="BZ88" s="239" t="s">
        <v>1380</v>
      </c>
      <c r="CA88" s="239">
        <v>2.5</v>
      </c>
      <c r="CB88" s="239">
        <v>2.5</v>
      </c>
      <c r="CC88" s="239">
        <v>2.5</v>
      </c>
      <c r="CD88" s="239">
        <v>2.5</v>
      </c>
      <c r="CE88" s="251">
        <v>2.5</v>
      </c>
      <c r="CF88" s="251">
        <v>0.2</v>
      </c>
      <c r="CG88" s="250" t="s">
        <v>1050</v>
      </c>
      <c r="CH88" s="250" t="s">
        <v>2643</v>
      </c>
      <c r="CI88" s="251">
        <v>2.5</v>
      </c>
      <c r="CJ88" s="251">
        <v>2.5</v>
      </c>
      <c r="CK88" s="252">
        <v>2025.0347999999999</v>
      </c>
      <c r="CL88" s="250" t="s">
        <v>317</v>
      </c>
      <c r="CM88" s="250">
        <v>2.5</v>
      </c>
      <c r="CN88" s="250" t="s">
        <v>289</v>
      </c>
      <c r="CO88" s="250">
        <v>2.5</v>
      </c>
      <c r="CP88" s="251" t="s">
        <v>290</v>
      </c>
      <c r="CQ88" s="244" t="s">
        <v>404</v>
      </c>
      <c r="CR88" s="244" t="s">
        <v>1567</v>
      </c>
      <c r="CS88" s="244" t="s">
        <v>1568</v>
      </c>
      <c r="CT88" s="296" t="s">
        <v>1620</v>
      </c>
      <c r="CU88" s="296" t="s">
        <v>1714</v>
      </c>
      <c r="CV88" s="296" t="s">
        <v>1702</v>
      </c>
      <c r="CW88" s="238" t="s">
        <v>405</v>
      </c>
      <c r="CX88" s="238" t="s">
        <v>406</v>
      </c>
      <c r="CY88" s="238" t="s">
        <v>407</v>
      </c>
      <c r="CZ88" s="238" t="s">
        <v>408</v>
      </c>
      <c r="DA88" s="238" t="s">
        <v>409</v>
      </c>
      <c r="DB88" s="238" t="s">
        <v>410</v>
      </c>
      <c r="DC88" s="238" t="s">
        <v>411</v>
      </c>
      <c r="DD88" s="238" t="s">
        <v>412</v>
      </c>
      <c r="DE88" s="238" t="s">
        <v>413</v>
      </c>
      <c r="DF88" s="238"/>
      <c r="DG88" s="238"/>
      <c r="DH88" s="238"/>
      <c r="DI88" s="238" t="s">
        <v>2281</v>
      </c>
      <c r="DJ88" s="238"/>
      <c r="DK88" s="238"/>
      <c r="DL88" s="238">
        <f t="shared" si="8"/>
        <v>9</v>
      </c>
    </row>
    <row r="89" spans="1:116" ht="25.5" x14ac:dyDescent="0.2">
      <c r="A89" s="111"/>
      <c r="B89" s="112" t="s">
        <v>495</v>
      </c>
      <c r="C89" s="113">
        <v>436</v>
      </c>
      <c r="D89" s="131" t="s">
        <v>485</v>
      </c>
      <c r="E89" s="124" t="s">
        <v>480</v>
      </c>
      <c r="F89" s="121" t="s">
        <v>1352</v>
      </c>
      <c r="G89" s="121" t="s">
        <v>2230</v>
      </c>
      <c r="H89" s="121" t="s">
        <v>2593</v>
      </c>
      <c r="I89" s="122" t="s">
        <v>2231</v>
      </c>
      <c r="J89" s="121" t="s">
        <v>2169</v>
      </c>
      <c r="K89" s="124" t="s">
        <v>1214</v>
      </c>
      <c r="L89" s="124" t="s">
        <v>602</v>
      </c>
      <c r="M89" s="113" t="s">
        <v>1972</v>
      </c>
      <c r="N89" s="113" t="s">
        <v>1973</v>
      </c>
      <c r="O89" s="113" t="s">
        <v>1972</v>
      </c>
      <c r="P89" s="113" t="s">
        <v>1972</v>
      </c>
      <c r="Q89" s="113" t="s">
        <v>1972</v>
      </c>
      <c r="R89" s="113" t="s">
        <v>1972</v>
      </c>
      <c r="S89" s="113" t="s">
        <v>1972</v>
      </c>
      <c r="T89" s="113" t="s">
        <v>1972</v>
      </c>
      <c r="U89" s="113" t="s">
        <v>1972</v>
      </c>
      <c r="V89" s="113" t="s">
        <v>1972</v>
      </c>
      <c r="W89" s="113" t="s">
        <v>1972</v>
      </c>
      <c r="X89" s="113" t="s">
        <v>1972</v>
      </c>
      <c r="Y89" s="113" t="s">
        <v>1972</v>
      </c>
      <c r="Z89" s="113" t="s">
        <v>1974</v>
      </c>
      <c r="AA89" s="113">
        <v>17</v>
      </c>
      <c r="AB89" s="113">
        <v>99</v>
      </c>
      <c r="AC89" s="125">
        <f t="shared" si="10"/>
        <v>107.5</v>
      </c>
      <c r="AD89" s="116">
        <v>2</v>
      </c>
      <c r="AE89" s="116"/>
      <c r="AF89" s="116"/>
      <c r="AG89" s="116"/>
      <c r="AH89" s="114">
        <v>0.2</v>
      </c>
      <c r="AI89" s="116" t="s">
        <v>298</v>
      </c>
      <c r="AJ89" s="116" t="s">
        <v>2057</v>
      </c>
      <c r="AK89" s="114" t="s">
        <v>1815</v>
      </c>
      <c r="AL89" s="114" t="s">
        <v>1263</v>
      </c>
      <c r="AM89" s="114" t="s">
        <v>918</v>
      </c>
      <c r="AN89" s="114">
        <v>0.2</v>
      </c>
      <c r="AO89" s="114">
        <v>0.2</v>
      </c>
      <c r="AP89" s="114">
        <v>0.2</v>
      </c>
      <c r="AQ89" s="114">
        <v>0.2</v>
      </c>
      <c r="AR89" s="114">
        <v>0.2</v>
      </c>
      <c r="AS89" s="114">
        <v>0.05</v>
      </c>
      <c r="AT89" s="114" t="s">
        <v>952</v>
      </c>
      <c r="AU89" s="113" t="s">
        <v>1418</v>
      </c>
      <c r="AV89" s="116">
        <v>2</v>
      </c>
      <c r="AW89" s="116"/>
      <c r="AX89" s="116"/>
      <c r="AY89" s="116"/>
      <c r="AZ89" s="116"/>
      <c r="BA89" s="116"/>
      <c r="BB89" s="126" t="s">
        <v>2414</v>
      </c>
      <c r="BC89" s="127">
        <v>45737</v>
      </c>
      <c r="BD89" s="113" t="s">
        <v>182</v>
      </c>
      <c r="BE89" s="113" t="s">
        <v>186</v>
      </c>
      <c r="BF89" s="116">
        <v>2</v>
      </c>
      <c r="BG89" s="116"/>
      <c r="BH89" s="116"/>
      <c r="BI89" s="116"/>
      <c r="BJ89" s="116"/>
      <c r="BK89" s="116"/>
      <c r="BL89" s="116"/>
      <c r="BM89" s="116">
        <v>2</v>
      </c>
      <c r="BN89" s="116">
        <v>2</v>
      </c>
      <c r="BO89" s="117" t="s">
        <v>615</v>
      </c>
      <c r="BP89" s="117">
        <v>2</v>
      </c>
      <c r="BQ89" s="113" t="s">
        <v>1304</v>
      </c>
      <c r="BR89" s="116">
        <v>2</v>
      </c>
      <c r="BS89" s="113" t="s">
        <v>23</v>
      </c>
      <c r="BT89" s="116" t="s">
        <v>169</v>
      </c>
      <c r="BU89" s="113"/>
      <c r="BV89" s="113" t="s">
        <v>1905</v>
      </c>
      <c r="BW89" s="113" t="s">
        <v>2574</v>
      </c>
      <c r="BX89" s="116">
        <f>AN89*10</f>
        <v>2</v>
      </c>
      <c r="BY89" s="113" t="s">
        <v>149</v>
      </c>
      <c r="BZ89" s="113" t="s">
        <v>1381</v>
      </c>
      <c r="CA89" s="113">
        <v>2</v>
      </c>
      <c r="CB89" s="113">
        <v>2</v>
      </c>
      <c r="CC89" s="113">
        <v>2</v>
      </c>
      <c r="CD89" s="113">
        <v>0</v>
      </c>
      <c r="CE89" s="118">
        <v>2</v>
      </c>
      <c r="CF89" s="118" t="s">
        <v>169</v>
      </c>
      <c r="CG89" s="117" t="s">
        <v>169</v>
      </c>
      <c r="CH89" s="117" t="s">
        <v>2644</v>
      </c>
      <c r="CI89" s="118">
        <v>2</v>
      </c>
      <c r="CJ89" s="118">
        <v>2</v>
      </c>
      <c r="CK89" s="119">
        <v>2025.0349000000001</v>
      </c>
      <c r="CL89" s="117" t="s">
        <v>317</v>
      </c>
      <c r="CM89" s="117">
        <v>2</v>
      </c>
      <c r="CN89" s="117" t="s">
        <v>289</v>
      </c>
      <c r="CO89" s="117">
        <v>2</v>
      </c>
      <c r="CP89" s="118" t="s">
        <v>290</v>
      </c>
      <c r="CQ89" s="124" t="s">
        <v>895</v>
      </c>
      <c r="CR89" s="124" t="s">
        <v>1569</v>
      </c>
      <c r="CS89" s="124" t="s">
        <v>1570</v>
      </c>
      <c r="CT89" s="129" t="s">
        <v>1000</v>
      </c>
      <c r="CU89" s="129" t="s">
        <v>1714</v>
      </c>
      <c r="CV89" s="129" t="s">
        <v>1702</v>
      </c>
      <c r="CW89" s="112" t="s">
        <v>896</v>
      </c>
      <c r="CX89" s="112" t="s">
        <v>897</v>
      </c>
      <c r="CY89" s="112" t="s">
        <v>898</v>
      </c>
      <c r="CZ89" s="112" t="s">
        <v>899</v>
      </c>
      <c r="DA89" s="112"/>
      <c r="DB89" s="112"/>
      <c r="DC89" s="112"/>
      <c r="DD89" s="112"/>
      <c r="DE89" s="112"/>
      <c r="DF89" s="112"/>
      <c r="DG89" s="112"/>
      <c r="DH89" s="112"/>
      <c r="DI89" s="112" t="s">
        <v>2281</v>
      </c>
      <c r="DJ89" s="112"/>
      <c r="DK89" s="112"/>
      <c r="DL89" s="112">
        <f t="shared" si="8"/>
        <v>4</v>
      </c>
    </row>
    <row r="90" spans="1:116" s="253" customFormat="1" ht="25.5" x14ac:dyDescent="0.2">
      <c r="A90" s="254"/>
      <c r="B90" s="255" t="s">
        <v>496</v>
      </c>
      <c r="C90" s="256">
        <v>437</v>
      </c>
      <c r="D90" s="274" t="s">
        <v>1389</v>
      </c>
      <c r="E90" s="260" t="s">
        <v>480</v>
      </c>
      <c r="F90" s="258" t="s">
        <v>1352</v>
      </c>
      <c r="G90" s="258" t="s">
        <v>2230</v>
      </c>
      <c r="H90" s="258" t="s">
        <v>2593</v>
      </c>
      <c r="I90" s="259" t="s">
        <v>2231</v>
      </c>
      <c r="J90" s="258" t="s">
        <v>2170</v>
      </c>
      <c r="K90" s="260" t="s">
        <v>1299</v>
      </c>
      <c r="L90" s="260" t="s">
        <v>603</v>
      </c>
      <c r="M90" s="256" t="s">
        <v>1972</v>
      </c>
      <c r="N90" s="256" t="s">
        <v>1973</v>
      </c>
      <c r="O90" s="256" t="s">
        <v>1974</v>
      </c>
      <c r="P90" s="256" t="s">
        <v>1973</v>
      </c>
      <c r="Q90" s="256" t="s">
        <v>1973</v>
      </c>
      <c r="R90" s="256" t="s">
        <v>1973</v>
      </c>
      <c r="S90" s="256" t="s">
        <v>1972</v>
      </c>
      <c r="T90" s="256" t="s">
        <v>2002</v>
      </c>
      <c r="U90" s="256" t="s">
        <v>1972</v>
      </c>
      <c r="V90" s="256" t="s">
        <v>1978</v>
      </c>
      <c r="W90" s="256" t="s">
        <v>1973</v>
      </c>
      <c r="X90" s="256" t="s">
        <v>1978</v>
      </c>
      <c r="Y90" s="256" t="s">
        <v>1972</v>
      </c>
      <c r="Z90" s="256" t="s">
        <v>1975</v>
      </c>
      <c r="AA90" s="256">
        <v>39</v>
      </c>
      <c r="AB90" s="256">
        <v>105</v>
      </c>
      <c r="AC90" s="261">
        <f>AB90+(AA90*(30/60))</f>
        <v>124.5</v>
      </c>
      <c r="AD90" s="262">
        <v>2</v>
      </c>
      <c r="AE90" s="262" t="s">
        <v>1984</v>
      </c>
      <c r="AF90" s="262"/>
      <c r="AG90" s="262"/>
      <c r="AH90" s="263">
        <v>0.2</v>
      </c>
      <c r="AI90" s="262" t="s">
        <v>298</v>
      </c>
      <c r="AJ90" s="262" t="s">
        <v>2061</v>
      </c>
      <c r="AK90" s="263" t="s">
        <v>1812</v>
      </c>
      <c r="AL90" s="263" t="s">
        <v>1264</v>
      </c>
      <c r="AM90" s="263" t="s">
        <v>935</v>
      </c>
      <c r="AN90" s="263">
        <v>0.2</v>
      </c>
      <c r="AO90" s="263">
        <v>0.2</v>
      </c>
      <c r="AP90" s="263">
        <v>0.2</v>
      </c>
      <c r="AQ90" s="263">
        <v>0.2</v>
      </c>
      <c r="AR90" s="263">
        <v>0.2</v>
      </c>
      <c r="AS90" s="263">
        <v>0</v>
      </c>
      <c r="AT90" s="263"/>
      <c r="AU90" s="256" t="s">
        <v>1419</v>
      </c>
      <c r="AV90" s="262">
        <v>2</v>
      </c>
      <c r="AW90" s="262"/>
      <c r="AX90" s="262"/>
      <c r="AY90" s="262"/>
      <c r="AZ90" s="262"/>
      <c r="BA90" s="262"/>
      <c r="BB90" s="269" t="s">
        <v>2415</v>
      </c>
      <c r="BC90" s="270">
        <v>45737</v>
      </c>
      <c r="BD90" s="256" t="s">
        <v>182</v>
      </c>
      <c r="BE90" s="256" t="s">
        <v>186</v>
      </c>
      <c r="BF90" s="262">
        <v>2</v>
      </c>
      <c r="BG90" s="262"/>
      <c r="BH90" s="262"/>
      <c r="BI90" s="262"/>
      <c r="BJ90" s="262"/>
      <c r="BK90" s="262"/>
      <c r="BL90" s="262"/>
      <c r="BM90" s="262">
        <v>2</v>
      </c>
      <c r="BN90" s="262">
        <v>2</v>
      </c>
      <c r="BO90" s="265" t="s">
        <v>615</v>
      </c>
      <c r="BP90" s="265">
        <v>2</v>
      </c>
      <c r="BQ90" s="256" t="s">
        <v>1305</v>
      </c>
      <c r="BR90" s="262">
        <v>2</v>
      </c>
      <c r="BS90" s="256" t="s">
        <v>23</v>
      </c>
      <c r="BT90" s="262" t="s">
        <v>169</v>
      </c>
      <c r="BU90" s="256"/>
      <c r="BV90" s="256" t="s">
        <v>1906</v>
      </c>
      <c r="BW90" s="256" t="s">
        <v>2575</v>
      </c>
      <c r="BX90" s="262">
        <v>2</v>
      </c>
      <c r="BY90" s="256" t="s">
        <v>149</v>
      </c>
      <c r="BZ90" s="256" t="s">
        <v>1382</v>
      </c>
      <c r="CA90" s="256">
        <v>2</v>
      </c>
      <c r="CB90" s="256">
        <v>2</v>
      </c>
      <c r="CC90" s="256">
        <v>2</v>
      </c>
      <c r="CD90" s="256">
        <v>2</v>
      </c>
      <c r="CE90" s="266">
        <v>2</v>
      </c>
      <c r="CF90" s="266" t="s">
        <v>169</v>
      </c>
      <c r="CG90" s="265" t="s">
        <v>169</v>
      </c>
      <c r="CH90" s="265" t="s">
        <v>2644</v>
      </c>
      <c r="CI90" s="266">
        <v>2</v>
      </c>
      <c r="CJ90" s="266">
        <v>2</v>
      </c>
      <c r="CK90" s="267">
        <v>2025.0350000000001</v>
      </c>
      <c r="CL90" s="265" t="s">
        <v>317</v>
      </c>
      <c r="CM90" s="265">
        <v>2</v>
      </c>
      <c r="CN90" s="265" t="s">
        <v>289</v>
      </c>
      <c r="CO90" s="265">
        <v>2</v>
      </c>
      <c r="CP90" s="266" t="s">
        <v>290</v>
      </c>
      <c r="CQ90" s="260" t="s">
        <v>931</v>
      </c>
      <c r="CR90" s="260" t="s">
        <v>1571</v>
      </c>
      <c r="CS90" s="260" t="s">
        <v>1572</v>
      </c>
      <c r="CT90" s="268" t="s">
        <v>1000</v>
      </c>
      <c r="CU90" s="268" t="s">
        <v>1714</v>
      </c>
      <c r="CV90" s="268" t="s">
        <v>1702</v>
      </c>
      <c r="CW90" s="255" t="s">
        <v>932</v>
      </c>
      <c r="CX90" s="255" t="s">
        <v>933</v>
      </c>
      <c r="CY90" s="255" t="s">
        <v>899</v>
      </c>
      <c r="CZ90" s="255"/>
      <c r="DA90" s="255"/>
      <c r="DB90" s="255"/>
      <c r="DC90" s="255"/>
      <c r="DD90" s="255"/>
      <c r="DE90" s="255"/>
      <c r="DF90" s="255"/>
      <c r="DG90" s="255"/>
      <c r="DH90" s="255"/>
      <c r="DI90" s="255" t="s">
        <v>2281</v>
      </c>
      <c r="DJ90" s="255"/>
      <c r="DK90" s="255"/>
      <c r="DL90" s="255">
        <f t="shared" si="8"/>
        <v>3</v>
      </c>
    </row>
    <row r="91" spans="1:116" ht="25.5" x14ac:dyDescent="0.2">
      <c r="A91" s="111"/>
      <c r="B91" s="112" t="s">
        <v>497</v>
      </c>
      <c r="C91" s="113">
        <v>438</v>
      </c>
      <c r="D91" s="131" t="s">
        <v>487</v>
      </c>
      <c r="E91" s="124" t="s">
        <v>480</v>
      </c>
      <c r="F91" s="121" t="s">
        <v>1352</v>
      </c>
      <c r="G91" s="121" t="s">
        <v>2230</v>
      </c>
      <c r="H91" s="121" t="s">
        <v>2593</v>
      </c>
      <c r="I91" s="122" t="s">
        <v>2231</v>
      </c>
      <c r="J91" s="121" t="s">
        <v>2171</v>
      </c>
      <c r="K91" s="124" t="s">
        <v>1215</v>
      </c>
      <c r="L91" s="124" t="s">
        <v>604</v>
      </c>
      <c r="M91" s="113">
        <v>2</v>
      </c>
      <c r="N91" s="113">
        <v>1</v>
      </c>
      <c r="O91" s="113">
        <v>5</v>
      </c>
      <c r="P91" s="113">
        <v>1</v>
      </c>
      <c r="Q91" s="113">
        <v>1</v>
      </c>
      <c r="R91" s="113">
        <v>5</v>
      </c>
      <c r="S91" s="113"/>
      <c r="T91" s="113"/>
      <c r="U91" s="113"/>
      <c r="V91" s="113"/>
      <c r="W91" s="113"/>
      <c r="X91" s="113"/>
      <c r="Y91" s="113"/>
      <c r="Z91" s="113"/>
      <c r="AA91" s="113">
        <v>15</v>
      </c>
      <c r="AB91" s="113">
        <v>71</v>
      </c>
      <c r="AC91" s="125">
        <f t="shared" si="10"/>
        <v>78.5</v>
      </c>
      <c r="AD91" s="116">
        <v>1</v>
      </c>
      <c r="AE91" s="116"/>
      <c r="AF91" s="116"/>
      <c r="AG91" s="116"/>
      <c r="AH91" s="114">
        <v>0.1</v>
      </c>
      <c r="AI91" s="116" t="s">
        <v>298</v>
      </c>
      <c r="AJ91" s="116" t="s">
        <v>2072</v>
      </c>
      <c r="AK91" s="114" t="s">
        <v>1825</v>
      </c>
      <c r="AL91" s="114" t="s">
        <v>1252</v>
      </c>
      <c r="AM91" s="114" t="s">
        <v>724</v>
      </c>
      <c r="AN91" s="114">
        <v>0.1</v>
      </c>
      <c r="AO91" s="114">
        <v>0.1</v>
      </c>
      <c r="AP91" s="114">
        <v>0.1</v>
      </c>
      <c r="AQ91" s="114">
        <v>0.1</v>
      </c>
      <c r="AR91" s="114">
        <v>0</v>
      </c>
      <c r="AS91" s="114">
        <v>0</v>
      </c>
      <c r="AT91" s="114" t="s">
        <v>952</v>
      </c>
      <c r="AU91" s="113" t="s">
        <v>1420</v>
      </c>
      <c r="AV91" s="116">
        <v>1.5</v>
      </c>
      <c r="AW91" s="116"/>
      <c r="AX91" s="116"/>
      <c r="AY91" s="116"/>
      <c r="AZ91" s="116"/>
      <c r="BA91" s="116"/>
      <c r="BB91" s="113" t="s">
        <v>2416</v>
      </c>
      <c r="BC91" s="128">
        <v>45737</v>
      </c>
      <c r="BD91" s="113" t="s">
        <v>182</v>
      </c>
      <c r="BE91" s="113" t="s">
        <v>186</v>
      </c>
      <c r="BF91" s="116">
        <v>1</v>
      </c>
      <c r="BG91" s="116"/>
      <c r="BH91" s="116"/>
      <c r="BI91" s="116"/>
      <c r="BJ91" s="116"/>
      <c r="BK91" s="116"/>
      <c r="BL91" s="116"/>
      <c r="BM91" s="116">
        <v>1</v>
      </c>
      <c r="BN91" s="116">
        <v>1</v>
      </c>
      <c r="BO91" s="117" t="s">
        <v>614</v>
      </c>
      <c r="BP91" s="117">
        <v>1.5</v>
      </c>
      <c r="BQ91" s="113" t="s">
        <v>1306</v>
      </c>
      <c r="BR91" s="116">
        <v>1.5</v>
      </c>
      <c r="BS91" s="113" t="s">
        <v>23</v>
      </c>
      <c r="BT91" s="116" t="s">
        <v>169</v>
      </c>
      <c r="BU91" s="113" t="s">
        <v>133</v>
      </c>
      <c r="BV91" s="113" t="s">
        <v>1907</v>
      </c>
      <c r="BW91" s="113" t="s">
        <v>2576</v>
      </c>
      <c r="BX91" s="116">
        <f>AN91*10</f>
        <v>1</v>
      </c>
      <c r="BY91" s="113" t="s">
        <v>158</v>
      </c>
      <c r="BZ91" s="113" t="s">
        <v>1383</v>
      </c>
      <c r="CA91" s="113">
        <v>1.5</v>
      </c>
      <c r="CB91" s="113">
        <v>0</v>
      </c>
      <c r="CC91" s="113">
        <v>0</v>
      </c>
      <c r="CD91" s="113">
        <v>0</v>
      </c>
      <c r="CE91" s="118">
        <v>1</v>
      </c>
      <c r="CF91" s="118">
        <v>0.1</v>
      </c>
      <c r="CG91" s="117" t="s">
        <v>1051</v>
      </c>
      <c r="CH91" s="117" t="s">
        <v>2644</v>
      </c>
      <c r="CI91" s="118">
        <v>1</v>
      </c>
      <c r="CJ91" s="118">
        <v>1</v>
      </c>
      <c r="CK91" s="119">
        <v>2025.0351000000001</v>
      </c>
      <c r="CL91" s="117" t="s">
        <v>23</v>
      </c>
      <c r="CM91" s="117">
        <v>1</v>
      </c>
      <c r="CN91" s="117" t="s">
        <v>289</v>
      </c>
      <c r="CO91" s="117">
        <v>1</v>
      </c>
      <c r="CP91" s="118" t="s">
        <v>290</v>
      </c>
      <c r="CQ91" s="132" t="s">
        <v>326</v>
      </c>
      <c r="CR91" s="132" t="s">
        <v>1573</v>
      </c>
      <c r="CS91" s="132" t="s">
        <v>1574</v>
      </c>
      <c r="CT91" s="129" t="s">
        <v>1000</v>
      </c>
      <c r="CU91" s="129" t="s">
        <v>1714</v>
      </c>
      <c r="CV91" s="129" t="s">
        <v>324</v>
      </c>
      <c r="CW91" s="112" t="s">
        <v>1122</v>
      </c>
      <c r="CX91" s="112" t="s">
        <v>1123</v>
      </c>
      <c r="CY91" s="112" t="s">
        <v>1124</v>
      </c>
      <c r="CZ91" s="112"/>
      <c r="DA91" s="112"/>
      <c r="DB91" s="112"/>
      <c r="DC91" s="112"/>
      <c r="DD91" s="112"/>
      <c r="DE91" s="112"/>
      <c r="DF91" s="112"/>
      <c r="DG91" s="112"/>
      <c r="DH91" s="112"/>
      <c r="DI91" s="112" t="s">
        <v>2281</v>
      </c>
      <c r="DJ91" s="112"/>
      <c r="DK91" s="112"/>
      <c r="DL91" s="112">
        <f t="shared" si="8"/>
        <v>3</v>
      </c>
    </row>
    <row r="92" spans="1:116" s="253" customFormat="1" ht="25.5" x14ac:dyDescent="0.2">
      <c r="A92" s="254"/>
      <c r="B92" s="255" t="s">
        <v>498</v>
      </c>
      <c r="C92" s="256">
        <v>439</v>
      </c>
      <c r="D92" s="274" t="s">
        <v>486</v>
      </c>
      <c r="E92" s="260" t="s">
        <v>480</v>
      </c>
      <c r="F92" s="258" t="s">
        <v>1352</v>
      </c>
      <c r="G92" s="258" t="s">
        <v>2230</v>
      </c>
      <c r="H92" s="258" t="s">
        <v>2593</v>
      </c>
      <c r="I92" s="259" t="s">
        <v>2231</v>
      </c>
      <c r="J92" s="258" t="s">
        <v>2172</v>
      </c>
      <c r="K92" s="260" t="s">
        <v>1216</v>
      </c>
      <c r="L92" s="260" t="s">
        <v>605</v>
      </c>
      <c r="M92" s="256" t="s">
        <v>1978</v>
      </c>
      <c r="N92" s="256" t="s">
        <v>2002</v>
      </c>
      <c r="O92" s="256" t="s">
        <v>1978</v>
      </c>
      <c r="P92" s="256" t="s">
        <v>1977</v>
      </c>
      <c r="Q92" s="256"/>
      <c r="R92" s="256"/>
      <c r="S92" s="256"/>
      <c r="T92" s="256"/>
      <c r="U92" s="256"/>
      <c r="V92" s="256"/>
      <c r="W92" s="256"/>
      <c r="X92" s="256"/>
      <c r="Y92" s="256"/>
      <c r="Z92" s="256"/>
      <c r="AA92" s="256">
        <v>13</v>
      </c>
      <c r="AB92" s="256">
        <v>75</v>
      </c>
      <c r="AC92" s="261">
        <f t="shared" si="10"/>
        <v>81.5</v>
      </c>
      <c r="AD92" s="262">
        <v>1.5</v>
      </c>
      <c r="AE92" s="262" t="s">
        <v>1984</v>
      </c>
      <c r="AF92" s="262"/>
      <c r="AG92" s="262"/>
      <c r="AH92" s="263">
        <v>0.15</v>
      </c>
      <c r="AI92" s="262" t="s">
        <v>298</v>
      </c>
      <c r="AJ92" s="262" t="s">
        <v>2048</v>
      </c>
      <c r="AK92" s="263" t="s">
        <v>1824</v>
      </c>
      <c r="AL92" s="263" t="s">
        <v>1253</v>
      </c>
      <c r="AM92" s="263" t="s">
        <v>688</v>
      </c>
      <c r="AN92" s="263">
        <v>0.15</v>
      </c>
      <c r="AO92" s="263">
        <v>0.15</v>
      </c>
      <c r="AP92" s="263">
        <v>0.15</v>
      </c>
      <c r="AQ92" s="263">
        <v>0.15</v>
      </c>
      <c r="AR92" s="263">
        <v>0.15</v>
      </c>
      <c r="AS92" s="263">
        <v>0</v>
      </c>
      <c r="AT92" s="263" t="s">
        <v>952</v>
      </c>
      <c r="AU92" s="256" t="s">
        <v>1421</v>
      </c>
      <c r="AV92" s="262">
        <v>1.5</v>
      </c>
      <c r="AW92" s="262"/>
      <c r="AX92" s="262"/>
      <c r="AY92" s="262"/>
      <c r="AZ92" s="262"/>
      <c r="BA92" s="262"/>
      <c r="BB92" s="256" t="s">
        <v>2417</v>
      </c>
      <c r="BC92" s="264">
        <v>45737</v>
      </c>
      <c r="BD92" s="256" t="s">
        <v>182</v>
      </c>
      <c r="BE92" s="256" t="s">
        <v>186</v>
      </c>
      <c r="BF92" s="262">
        <v>1.5</v>
      </c>
      <c r="BG92" s="262"/>
      <c r="BH92" s="262"/>
      <c r="BI92" s="262"/>
      <c r="BJ92" s="262"/>
      <c r="BK92" s="262"/>
      <c r="BL92" s="262"/>
      <c r="BM92" s="262">
        <v>1.5</v>
      </c>
      <c r="BN92" s="262">
        <v>1.5</v>
      </c>
      <c r="BO92" s="265" t="s">
        <v>614</v>
      </c>
      <c r="BP92" s="265">
        <v>1.5</v>
      </c>
      <c r="BQ92" s="271" t="s">
        <v>1307</v>
      </c>
      <c r="BR92" s="262">
        <v>1.5</v>
      </c>
      <c r="BS92" s="256" t="s">
        <v>23</v>
      </c>
      <c r="BT92" s="262" t="s">
        <v>169</v>
      </c>
      <c r="BU92" s="256" t="s">
        <v>141</v>
      </c>
      <c r="BV92" s="256" t="s">
        <v>1908</v>
      </c>
      <c r="BW92" s="256" t="s">
        <v>2577</v>
      </c>
      <c r="BX92" s="262">
        <f>AN92*10</f>
        <v>1.5</v>
      </c>
      <c r="BY92" s="256" t="s">
        <v>149</v>
      </c>
      <c r="BZ92" s="256" t="s">
        <v>1384</v>
      </c>
      <c r="CA92" s="256">
        <v>1.5</v>
      </c>
      <c r="CB92" s="256">
        <v>1.5</v>
      </c>
      <c r="CC92" s="256">
        <v>1.5</v>
      </c>
      <c r="CD92" s="256">
        <v>0</v>
      </c>
      <c r="CE92" s="266">
        <v>1.5</v>
      </c>
      <c r="CF92" s="266">
        <v>0.1</v>
      </c>
      <c r="CG92" s="265" t="s">
        <v>1052</v>
      </c>
      <c r="CH92" s="265" t="s">
        <v>2644</v>
      </c>
      <c r="CI92" s="266">
        <v>1.5</v>
      </c>
      <c r="CJ92" s="266">
        <v>1.5</v>
      </c>
      <c r="CK92" s="267">
        <v>2025.0352</v>
      </c>
      <c r="CL92" s="265" t="s">
        <v>317</v>
      </c>
      <c r="CM92" s="265">
        <v>1.5</v>
      </c>
      <c r="CN92" s="265" t="s">
        <v>289</v>
      </c>
      <c r="CO92" s="265">
        <v>1.5</v>
      </c>
      <c r="CP92" s="266" t="s">
        <v>290</v>
      </c>
      <c r="CQ92" s="260" t="s">
        <v>1528</v>
      </c>
      <c r="CR92" s="260" t="s">
        <v>1575</v>
      </c>
      <c r="CS92" s="260" t="s">
        <v>1576</v>
      </c>
      <c r="CT92" s="268" t="s">
        <v>1000</v>
      </c>
      <c r="CU92" s="268" t="s">
        <v>1714</v>
      </c>
      <c r="CV92" s="268" t="s">
        <v>1702</v>
      </c>
      <c r="CW92" s="255" t="s">
        <v>882</v>
      </c>
      <c r="CX92" s="255" t="s">
        <v>883</v>
      </c>
      <c r="CY92" s="255" t="s">
        <v>884</v>
      </c>
      <c r="CZ92" s="255" t="s">
        <v>885</v>
      </c>
      <c r="DA92" s="255"/>
      <c r="DB92" s="255"/>
      <c r="DC92" s="255"/>
      <c r="DD92" s="255"/>
      <c r="DE92" s="255"/>
      <c r="DF92" s="255"/>
      <c r="DG92" s="255"/>
      <c r="DH92" s="255"/>
      <c r="DI92" s="255" t="s">
        <v>2281</v>
      </c>
      <c r="DJ92" s="255"/>
      <c r="DK92" s="255"/>
      <c r="DL92" s="255">
        <f t="shared" si="8"/>
        <v>4</v>
      </c>
    </row>
    <row r="93" spans="1:116" ht="25.5" x14ac:dyDescent="0.2">
      <c r="A93" s="111"/>
      <c r="B93" s="112" t="s">
        <v>499</v>
      </c>
      <c r="C93" s="113">
        <v>440</v>
      </c>
      <c r="D93" s="131" t="s">
        <v>488</v>
      </c>
      <c r="E93" s="124" t="s">
        <v>480</v>
      </c>
      <c r="F93" s="121" t="s">
        <v>1352</v>
      </c>
      <c r="G93" s="121" t="s">
        <v>2230</v>
      </c>
      <c r="H93" s="121" t="s">
        <v>2593</v>
      </c>
      <c r="I93" s="122" t="s">
        <v>2231</v>
      </c>
      <c r="J93" s="121" t="s">
        <v>2173</v>
      </c>
      <c r="K93" s="124" t="s">
        <v>1217</v>
      </c>
      <c r="L93" s="124" t="s">
        <v>606</v>
      </c>
      <c r="M93" s="113" t="s">
        <v>1973</v>
      </c>
      <c r="N93" s="113" t="s">
        <v>1973</v>
      </c>
      <c r="O93" s="113" t="s">
        <v>1972</v>
      </c>
      <c r="P93" s="113" t="s">
        <v>1977</v>
      </c>
      <c r="Q93" s="113"/>
      <c r="R93" s="113"/>
      <c r="S93" s="113"/>
      <c r="T93" s="113"/>
      <c r="U93" s="113"/>
      <c r="V93" s="113"/>
      <c r="W93" s="113"/>
      <c r="X93" s="113"/>
      <c r="Y93" s="113"/>
      <c r="Z93" s="113"/>
      <c r="AA93" s="113">
        <v>15</v>
      </c>
      <c r="AB93" s="113">
        <v>39</v>
      </c>
      <c r="AC93" s="125">
        <f t="shared" si="10"/>
        <v>46.5</v>
      </c>
      <c r="AD93" s="116">
        <v>0.5</v>
      </c>
      <c r="AE93" s="116"/>
      <c r="AF93" s="116"/>
      <c r="AG93" s="116"/>
      <c r="AH93" s="125">
        <v>0</v>
      </c>
      <c r="AI93" s="116" t="s">
        <v>162</v>
      </c>
      <c r="AJ93" s="116" t="s">
        <v>2058</v>
      </c>
      <c r="AK93" s="114" t="s">
        <v>1814</v>
      </c>
      <c r="AL93" s="114" t="s">
        <v>1279</v>
      </c>
      <c r="AM93" s="114" t="s">
        <v>929</v>
      </c>
      <c r="AN93" s="114">
        <v>0.05</v>
      </c>
      <c r="AO93" s="114">
        <v>0.05</v>
      </c>
      <c r="AP93" s="114">
        <v>0.05</v>
      </c>
      <c r="AQ93" s="114">
        <v>0.05</v>
      </c>
      <c r="AR93" s="114">
        <v>0.05</v>
      </c>
      <c r="AS93" s="114">
        <v>0</v>
      </c>
      <c r="AT93" s="114" t="s">
        <v>952</v>
      </c>
      <c r="AU93" s="113" t="s">
        <v>1422</v>
      </c>
      <c r="AV93" s="116">
        <v>0.5</v>
      </c>
      <c r="AW93" s="116"/>
      <c r="AX93" s="116"/>
      <c r="AY93" s="116"/>
      <c r="AZ93" s="116"/>
      <c r="BA93" s="116"/>
      <c r="BB93" s="126" t="s">
        <v>2418</v>
      </c>
      <c r="BC93" s="127">
        <v>45737</v>
      </c>
      <c r="BD93" s="113" t="s">
        <v>182</v>
      </c>
      <c r="BE93" s="113" t="s">
        <v>186</v>
      </c>
      <c r="BF93" s="116">
        <v>0.5</v>
      </c>
      <c r="BG93" s="116"/>
      <c r="BH93" s="116"/>
      <c r="BI93" s="116"/>
      <c r="BJ93" s="116"/>
      <c r="BK93" s="116"/>
      <c r="BL93" s="116"/>
      <c r="BM93" s="116">
        <v>0.5</v>
      </c>
      <c r="BN93" s="116">
        <v>0.5</v>
      </c>
      <c r="BO93" s="117" t="s">
        <v>613</v>
      </c>
      <c r="BP93" s="117">
        <v>0.5</v>
      </c>
      <c r="BQ93" s="130" t="s">
        <v>1308</v>
      </c>
      <c r="BR93" s="116">
        <v>0.5</v>
      </c>
      <c r="BS93" s="113" t="s">
        <v>23</v>
      </c>
      <c r="BT93" s="116" t="s">
        <v>169</v>
      </c>
      <c r="BU93" s="113"/>
      <c r="BV93" s="113" t="s">
        <v>1909</v>
      </c>
      <c r="BW93" s="113" t="s">
        <v>2578</v>
      </c>
      <c r="BX93" s="116">
        <v>0.5</v>
      </c>
      <c r="BY93" s="113" t="s">
        <v>149</v>
      </c>
      <c r="BZ93" s="113" t="s">
        <v>2640</v>
      </c>
      <c r="CA93" s="113">
        <v>0.5</v>
      </c>
      <c r="CB93" s="113">
        <v>0.5</v>
      </c>
      <c r="CC93" s="113">
        <v>0.5</v>
      </c>
      <c r="CD93" s="113">
        <v>0.5</v>
      </c>
      <c r="CE93" s="118">
        <v>0.5</v>
      </c>
      <c r="CF93" s="118" t="s">
        <v>169</v>
      </c>
      <c r="CG93" s="117" t="s">
        <v>169</v>
      </c>
      <c r="CH93" s="117" t="s">
        <v>2644</v>
      </c>
      <c r="CI93" s="118">
        <v>0.5</v>
      </c>
      <c r="CJ93" s="118">
        <v>0.5</v>
      </c>
      <c r="CK93" s="119">
        <v>2025.0353</v>
      </c>
      <c r="CL93" s="117" t="s">
        <v>317</v>
      </c>
      <c r="CM93" s="117">
        <v>0.5</v>
      </c>
      <c r="CN93" s="117" t="s">
        <v>289</v>
      </c>
      <c r="CO93" s="117">
        <v>0.5</v>
      </c>
      <c r="CP93" s="118" t="s">
        <v>290</v>
      </c>
      <c r="CQ93" s="124" t="s">
        <v>908</v>
      </c>
      <c r="CR93" s="124" t="s">
        <v>1577</v>
      </c>
      <c r="CS93" s="124" t="s">
        <v>1578</v>
      </c>
      <c r="CT93" s="129" t="s">
        <v>1000</v>
      </c>
      <c r="CU93" s="129" t="s">
        <v>1714</v>
      </c>
      <c r="CV93" s="129" t="s">
        <v>1702</v>
      </c>
      <c r="CW93" s="112" t="s">
        <v>904</v>
      </c>
      <c r="CX93" s="112" t="s">
        <v>905</v>
      </c>
      <c r="CY93" s="112" t="s">
        <v>906</v>
      </c>
      <c r="CZ93" s="112" t="s">
        <v>907</v>
      </c>
      <c r="DA93" s="112"/>
      <c r="DB93" s="112"/>
      <c r="DC93" s="112"/>
      <c r="DD93" s="112"/>
      <c r="DE93" s="112"/>
      <c r="DF93" s="112"/>
      <c r="DG93" s="112"/>
      <c r="DH93" s="112"/>
      <c r="DI93" s="112" t="s">
        <v>2281</v>
      </c>
      <c r="DJ93" s="112"/>
      <c r="DK93" s="112"/>
      <c r="DL93" s="112">
        <f t="shared" si="8"/>
        <v>4</v>
      </c>
    </row>
    <row r="94" spans="1:116" s="253" customFormat="1" ht="25.5" x14ac:dyDescent="0.2">
      <c r="A94" s="254"/>
      <c r="B94" s="255" t="s">
        <v>500</v>
      </c>
      <c r="C94" s="256">
        <v>441</v>
      </c>
      <c r="D94" s="274" t="s">
        <v>2220</v>
      </c>
      <c r="E94" s="260" t="s">
        <v>480</v>
      </c>
      <c r="F94" s="258" t="s">
        <v>1352</v>
      </c>
      <c r="G94" s="258" t="s">
        <v>2230</v>
      </c>
      <c r="H94" s="258" t="s">
        <v>2593</v>
      </c>
      <c r="I94" s="259" t="s">
        <v>2231</v>
      </c>
      <c r="J94" s="258" t="s">
        <v>2174</v>
      </c>
      <c r="K94" s="260" t="s">
        <v>1300</v>
      </c>
      <c r="L94" s="260" t="s">
        <v>607</v>
      </c>
      <c r="M94" s="256"/>
      <c r="N94" s="256"/>
      <c r="O94" s="256"/>
      <c r="P94" s="256"/>
      <c r="Q94" s="256"/>
      <c r="R94" s="256"/>
      <c r="S94" s="256"/>
      <c r="T94" s="256"/>
      <c r="U94" s="256"/>
      <c r="V94" s="256"/>
      <c r="W94" s="256"/>
      <c r="X94" s="256"/>
      <c r="Y94" s="256"/>
      <c r="Z94" s="256"/>
      <c r="AA94" s="256">
        <f t="shared" ref="AA94:AA99" si="11">SUM(M94:Z94)</f>
        <v>0</v>
      </c>
      <c r="AB94" s="256"/>
      <c r="AC94" s="261">
        <f t="shared" si="10"/>
        <v>0</v>
      </c>
      <c r="AD94" s="262">
        <v>1.5</v>
      </c>
      <c r="AE94" s="262"/>
      <c r="AF94" s="262"/>
      <c r="AG94" s="262"/>
      <c r="AH94" s="261">
        <v>0</v>
      </c>
      <c r="AI94" s="262" t="s">
        <v>162</v>
      </c>
      <c r="AJ94" s="262" t="s">
        <v>2059</v>
      </c>
      <c r="AK94" s="263" t="s">
        <v>1965</v>
      </c>
      <c r="AL94" s="263" t="s">
        <v>1265</v>
      </c>
      <c r="AM94" s="263" t="s">
        <v>1065</v>
      </c>
      <c r="AN94" s="263">
        <v>0.15</v>
      </c>
      <c r="AO94" s="263">
        <v>0.15</v>
      </c>
      <c r="AP94" s="263">
        <v>0.1</v>
      </c>
      <c r="AQ94" s="263">
        <v>0.15</v>
      </c>
      <c r="AR94" s="263">
        <v>0.15</v>
      </c>
      <c r="AS94" s="263">
        <v>0</v>
      </c>
      <c r="AT94" s="263" t="s">
        <v>952</v>
      </c>
      <c r="AU94" s="256" t="s">
        <v>2221</v>
      </c>
      <c r="AV94" s="261">
        <v>0</v>
      </c>
      <c r="AW94" s="262"/>
      <c r="AX94" s="262"/>
      <c r="AY94" s="262"/>
      <c r="AZ94" s="262"/>
      <c r="BA94" s="262"/>
      <c r="BB94" s="256" t="s">
        <v>2221</v>
      </c>
      <c r="BC94" s="256"/>
      <c r="BD94" s="256"/>
      <c r="BE94" s="256"/>
      <c r="BF94" s="262"/>
      <c r="BG94" s="262"/>
      <c r="BH94" s="262"/>
      <c r="BI94" s="262"/>
      <c r="BJ94" s="262"/>
      <c r="BK94" s="262"/>
      <c r="BL94" s="262"/>
      <c r="BM94" s="262">
        <v>1.5</v>
      </c>
      <c r="BN94" s="262">
        <v>1.5</v>
      </c>
      <c r="BO94" s="265" t="s">
        <v>614</v>
      </c>
      <c r="BP94" s="265">
        <v>1.5</v>
      </c>
      <c r="BQ94" s="256" t="s">
        <v>169</v>
      </c>
      <c r="BR94" s="262" t="s">
        <v>169</v>
      </c>
      <c r="BS94" s="256" t="s">
        <v>169</v>
      </c>
      <c r="BT94" s="262" t="s">
        <v>169</v>
      </c>
      <c r="BU94" s="256"/>
      <c r="BV94" s="256" t="s">
        <v>909</v>
      </c>
      <c r="BW94" s="256" t="s">
        <v>2579</v>
      </c>
      <c r="BX94" s="262">
        <f>AN94*10</f>
        <v>1.5</v>
      </c>
      <c r="BY94" s="256" t="s">
        <v>149</v>
      </c>
      <c r="BZ94" s="256" t="s">
        <v>169</v>
      </c>
      <c r="CA94" s="256" t="s">
        <v>169</v>
      </c>
      <c r="CB94" s="256" t="s">
        <v>169</v>
      </c>
      <c r="CC94" s="256" t="s">
        <v>169</v>
      </c>
      <c r="CD94" s="256" t="s">
        <v>169</v>
      </c>
      <c r="CE94" s="266">
        <v>1.5</v>
      </c>
      <c r="CF94" s="266" t="s">
        <v>169</v>
      </c>
      <c r="CG94" s="265" t="s">
        <v>169</v>
      </c>
      <c r="CH94" s="265" t="s">
        <v>2644</v>
      </c>
      <c r="CI94" s="266">
        <v>1.5</v>
      </c>
      <c r="CJ94" s="266">
        <v>1.5</v>
      </c>
      <c r="CK94" s="267">
        <v>2025.0354</v>
      </c>
      <c r="CL94" s="265" t="s">
        <v>317</v>
      </c>
      <c r="CM94" s="265">
        <v>1.5</v>
      </c>
      <c r="CN94" s="265" t="s">
        <v>289</v>
      </c>
      <c r="CO94" s="265">
        <v>1.5</v>
      </c>
      <c r="CP94" s="266" t="s">
        <v>290</v>
      </c>
      <c r="CQ94" s="260" t="s">
        <v>1062</v>
      </c>
      <c r="CR94" s="260"/>
      <c r="CS94" s="260"/>
      <c r="CT94" s="268" t="s">
        <v>1000</v>
      </c>
      <c r="CU94" s="268" t="s">
        <v>1714</v>
      </c>
      <c r="CV94" s="268" t="s">
        <v>1711</v>
      </c>
      <c r="CW94" s="255" t="s">
        <v>2322</v>
      </c>
      <c r="CX94" s="255" t="s">
        <v>1123</v>
      </c>
      <c r="CY94" s="255" t="s">
        <v>2323</v>
      </c>
      <c r="CZ94" s="255" t="s">
        <v>2324</v>
      </c>
      <c r="DA94" s="255"/>
      <c r="DB94" s="255"/>
      <c r="DC94" s="255"/>
      <c r="DD94" s="255"/>
      <c r="DE94" s="255"/>
      <c r="DF94" s="255"/>
      <c r="DG94" s="255"/>
      <c r="DH94" s="255"/>
      <c r="DI94" s="255" t="s">
        <v>2281</v>
      </c>
      <c r="DJ94" s="255"/>
      <c r="DK94" s="255"/>
      <c r="DL94" s="255">
        <f t="shared" si="8"/>
        <v>4</v>
      </c>
    </row>
    <row r="95" spans="1:116" ht="25.5" x14ac:dyDescent="0.2">
      <c r="A95" s="111"/>
      <c r="B95" s="112" t="s">
        <v>501</v>
      </c>
      <c r="C95" s="113">
        <v>442</v>
      </c>
      <c r="D95" s="131" t="s">
        <v>1960</v>
      </c>
      <c r="E95" s="124" t="s">
        <v>480</v>
      </c>
      <c r="F95" s="121" t="s">
        <v>1352</v>
      </c>
      <c r="G95" s="121" t="s">
        <v>2230</v>
      </c>
      <c r="H95" s="121" t="s">
        <v>2593</v>
      </c>
      <c r="I95" s="122" t="s">
        <v>2231</v>
      </c>
      <c r="J95" s="121" t="s">
        <v>2175</v>
      </c>
      <c r="K95" s="124" t="s">
        <v>1301</v>
      </c>
      <c r="L95" s="124" t="s">
        <v>608</v>
      </c>
      <c r="M95" s="113"/>
      <c r="N95" s="113"/>
      <c r="O95" s="113"/>
      <c r="P95" s="113"/>
      <c r="Q95" s="113"/>
      <c r="R95" s="113"/>
      <c r="S95" s="113"/>
      <c r="T95" s="113"/>
      <c r="U95" s="113"/>
      <c r="V95" s="113"/>
      <c r="W95" s="113"/>
      <c r="X95" s="113"/>
      <c r="Y95" s="113"/>
      <c r="Z95" s="113"/>
      <c r="AA95" s="113">
        <f t="shared" si="11"/>
        <v>0</v>
      </c>
      <c r="AB95" s="113"/>
      <c r="AC95" s="125">
        <f t="shared" si="10"/>
        <v>0</v>
      </c>
      <c r="AD95" s="116">
        <v>2</v>
      </c>
      <c r="AE95" s="116"/>
      <c r="AF95" s="116"/>
      <c r="AG95" s="116"/>
      <c r="AH95" s="125">
        <v>0</v>
      </c>
      <c r="AI95" s="116" t="s">
        <v>162</v>
      </c>
      <c r="AJ95" s="116" t="s">
        <v>2060</v>
      </c>
      <c r="AK95" s="114" t="s">
        <v>1966</v>
      </c>
      <c r="AL95" s="114" t="s">
        <v>1281</v>
      </c>
      <c r="AM95" s="114" t="s">
        <v>1066</v>
      </c>
      <c r="AN95" s="114">
        <v>0.2</v>
      </c>
      <c r="AO95" s="114">
        <v>0.2</v>
      </c>
      <c r="AP95" s="114">
        <v>0.15</v>
      </c>
      <c r="AQ95" s="114">
        <v>0.2</v>
      </c>
      <c r="AR95" s="114">
        <v>0.2</v>
      </c>
      <c r="AS95" s="114">
        <v>0</v>
      </c>
      <c r="AT95" s="114" t="s">
        <v>952</v>
      </c>
      <c r="AU95" s="113" t="s">
        <v>2221</v>
      </c>
      <c r="AV95" s="125">
        <v>0</v>
      </c>
      <c r="AW95" s="116"/>
      <c r="AX95" s="116"/>
      <c r="AY95" s="116"/>
      <c r="AZ95" s="116"/>
      <c r="BA95" s="116"/>
      <c r="BB95" s="113" t="s">
        <v>2221</v>
      </c>
      <c r="BC95" s="113"/>
      <c r="BD95" s="113"/>
      <c r="BE95" s="113"/>
      <c r="BF95" s="116"/>
      <c r="BG95" s="116"/>
      <c r="BH95" s="116"/>
      <c r="BI95" s="116"/>
      <c r="BJ95" s="116"/>
      <c r="BK95" s="116"/>
      <c r="BL95" s="116"/>
      <c r="BM95" s="116">
        <v>2</v>
      </c>
      <c r="BN95" s="116">
        <v>2</v>
      </c>
      <c r="BO95" s="117" t="s">
        <v>615</v>
      </c>
      <c r="BP95" s="117">
        <v>2</v>
      </c>
      <c r="BQ95" s="113" t="s">
        <v>169</v>
      </c>
      <c r="BR95" s="116" t="s">
        <v>169</v>
      </c>
      <c r="BS95" s="113" t="s">
        <v>169</v>
      </c>
      <c r="BT95" s="116" t="s">
        <v>169</v>
      </c>
      <c r="BU95" s="113"/>
      <c r="BV95" s="113" t="s">
        <v>1910</v>
      </c>
      <c r="BW95" s="113" t="s">
        <v>2580</v>
      </c>
      <c r="BX95" s="116">
        <f>AN95*10</f>
        <v>2</v>
      </c>
      <c r="BY95" s="113" t="s">
        <v>149</v>
      </c>
      <c r="BZ95" s="113" t="s">
        <v>169</v>
      </c>
      <c r="CA95" s="113" t="s">
        <v>169</v>
      </c>
      <c r="CB95" s="113" t="s">
        <v>169</v>
      </c>
      <c r="CC95" s="113" t="s">
        <v>169</v>
      </c>
      <c r="CD95" s="113" t="s">
        <v>169</v>
      </c>
      <c r="CE95" s="118">
        <v>2</v>
      </c>
      <c r="CF95" s="118" t="s">
        <v>169</v>
      </c>
      <c r="CG95" s="117" t="s">
        <v>169</v>
      </c>
      <c r="CH95" s="117" t="s">
        <v>2644</v>
      </c>
      <c r="CI95" s="118">
        <v>2</v>
      </c>
      <c r="CJ95" s="118">
        <v>2</v>
      </c>
      <c r="CK95" s="119">
        <v>2025.0355</v>
      </c>
      <c r="CL95" s="117" t="s">
        <v>317</v>
      </c>
      <c r="CM95" s="117">
        <v>2</v>
      </c>
      <c r="CN95" s="117" t="s">
        <v>289</v>
      </c>
      <c r="CO95" s="117">
        <v>2</v>
      </c>
      <c r="CP95" s="118" t="s">
        <v>290</v>
      </c>
      <c r="CQ95" s="124" t="s">
        <v>1063</v>
      </c>
      <c r="CR95" s="124"/>
      <c r="CS95" s="124"/>
      <c r="CT95" s="129" t="s">
        <v>1000</v>
      </c>
      <c r="CU95" s="129" t="s">
        <v>1714</v>
      </c>
      <c r="CV95" s="129" t="s">
        <v>1711</v>
      </c>
      <c r="CW95" s="112" t="s">
        <v>2325</v>
      </c>
      <c r="CX95" s="112" t="s">
        <v>2326</v>
      </c>
      <c r="CY95" s="112" t="s">
        <v>2327</v>
      </c>
      <c r="CZ95" s="112" t="s">
        <v>2328</v>
      </c>
      <c r="DA95" s="112" t="s">
        <v>2329</v>
      </c>
      <c r="DB95" s="112"/>
      <c r="DC95" s="112"/>
      <c r="DD95" s="112"/>
      <c r="DE95" s="112"/>
      <c r="DF95" s="112"/>
      <c r="DG95" s="112"/>
      <c r="DH95" s="112"/>
      <c r="DI95" s="112" t="s">
        <v>2281</v>
      </c>
      <c r="DJ95" s="112"/>
      <c r="DK95" s="112"/>
      <c r="DL95" s="112">
        <f t="shared" si="8"/>
        <v>5</v>
      </c>
    </row>
    <row r="96" spans="1:116" s="253" customFormat="1" ht="25.5" x14ac:dyDescent="0.2">
      <c r="A96" s="254"/>
      <c r="B96" s="255" t="s">
        <v>502</v>
      </c>
      <c r="C96" s="256">
        <v>443</v>
      </c>
      <c r="D96" s="274" t="s">
        <v>698</v>
      </c>
      <c r="E96" s="260" t="s">
        <v>480</v>
      </c>
      <c r="F96" s="258" t="s">
        <v>1352</v>
      </c>
      <c r="G96" s="258" t="s">
        <v>2230</v>
      </c>
      <c r="H96" s="258" t="s">
        <v>2593</v>
      </c>
      <c r="I96" s="259" t="s">
        <v>2231</v>
      </c>
      <c r="J96" s="258" t="s">
        <v>2176</v>
      </c>
      <c r="K96" s="260" t="s">
        <v>1218</v>
      </c>
      <c r="L96" s="260" t="s">
        <v>921</v>
      </c>
      <c r="M96" s="256" t="s">
        <v>1973</v>
      </c>
      <c r="N96" s="256">
        <v>1</v>
      </c>
      <c r="O96" s="256">
        <v>1</v>
      </c>
      <c r="P96" s="256">
        <v>1</v>
      </c>
      <c r="Q96" s="256">
        <v>1</v>
      </c>
      <c r="R96" s="256">
        <v>1</v>
      </c>
      <c r="S96" s="256">
        <v>4</v>
      </c>
      <c r="T96" s="256"/>
      <c r="U96" s="256"/>
      <c r="V96" s="256"/>
      <c r="W96" s="256"/>
      <c r="X96" s="256"/>
      <c r="Y96" s="256"/>
      <c r="Z96" s="256"/>
      <c r="AA96" s="256">
        <v>10</v>
      </c>
      <c r="AB96" s="256">
        <v>67</v>
      </c>
      <c r="AC96" s="261">
        <f t="shared" si="10"/>
        <v>72</v>
      </c>
      <c r="AD96" s="262">
        <v>1</v>
      </c>
      <c r="AE96" s="262"/>
      <c r="AF96" s="262"/>
      <c r="AG96" s="262"/>
      <c r="AH96" s="263">
        <v>0.1</v>
      </c>
      <c r="AI96" s="262" t="s">
        <v>298</v>
      </c>
      <c r="AJ96" s="262" t="s">
        <v>2056</v>
      </c>
      <c r="AK96" s="263" t="s">
        <v>1816</v>
      </c>
      <c r="AL96" s="263" t="s">
        <v>1262</v>
      </c>
      <c r="AM96" s="263" t="s">
        <v>752</v>
      </c>
      <c r="AN96" s="263">
        <v>0.1</v>
      </c>
      <c r="AO96" s="263">
        <v>0.1</v>
      </c>
      <c r="AP96" s="263">
        <v>0.1</v>
      </c>
      <c r="AQ96" s="263">
        <v>0.1</v>
      </c>
      <c r="AR96" s="263">
        <v>0</v>
      </c>
      <c r="AS96" s="263">
        <v>0</v>
      </c>
      <c r="AT96" s="263" t="s">
        <v>952</v>
      </c>
      <c r="AU96" s="256" t="s">
        <v>1461</v>
      </c>
      <c r="AV96" s="262">
        <v>1</v>
      </c>
      <c r="AW96" s="262"/>
      <c r="AX96" s="262"/>
      <c r="AY96" s="262"/>
      <c r="AZ96" s="262"/>
      <c r="BA96" s="262"/>
      <c r="BB96" s="269" t="s">
        <v>2419</v>
      </c>
      <c r="BC96" s="270">
        <v>45737</v>
      </c>
      <c r="BD96" s="256" t="s">
        <v>182</v>
      </c>
      <c r="BE96" s="256" t="s">
        <v>186</v>
      </c>
      <c r="BF96" s="262">
        <v>1</v>
      </c>
      <c r="BG96" s="262"/>
      <c r="BH96" s="262"/>
      <c r="BI96" s="262"/>
      <c r="BJ96" s="262"/>
      <c r="BK96" s="262"/>
      <c r="BL96" s="262"/>
      <c r="BM96" s="262">
        <v>1</v>
      </c>
      <c r="BN96" s="262">
        <v>1</v>
      </c>
      <c r="BO96" s="265" t="s">
        <v>612</v>
      </c>
      <c r="BP96" s="265">
        <v>1</v>
      </c>
      <c r="BQ96" s="256" t="s">
        <v>1309</v>
      </c>
      <c r="BR96" s="262">
        <v>1</v>
      </c>
      <c r="BS96" s="256" t="s">
        <v>23</v>
      </c>
      <c r="BT96" s="262" t="s">
        <v>169</v>
      </c>
      <c r="BU96" s="256"/>
      <c r="BV96" s="256" t="s">
        <v>1911</v>
      </c>
      <c r="BW96" s="256" t="s">
        <v>2581</v>
      </c>
      <c r="BX96" s="262">
        <v>1</v>
      </c>
      <c r="BY96" s="256" t="s">
        <v>149</v>
      </c>
      <c r="BZ96" s="256" t="s">
        <v>1385</v>
      </c>
      <c r="CA96" s="256">
        <v>1</v>
      </c>
      <c r="CB96" s="256">
        <v>1</v>
      </c>
      <c r="CC96" s="256">
        <v>0</v>
      </c>
      <c r="CD96" s="256">
        <v>0</v>
      </c>
      <c r="CE96" s="266">
        <v>1</v>
      </c>
      <c r="CF96" s="266" t="s">
        <v>169</v>
      </c>
      <c r="CG96" s="265" t="s">
        <v>169</v>
      </c>
      <c r="CH96" s="265" t="s">
        <v>2644</v>
      </c>
      <c r="CI96" s="266">
        <v>1</v>
      </c>
      <c r="CJ96" s="266">
        <v>1</v>
      </c>
      <c r="CK96" s="267">
        <v>2025.0355999999999</v>
      </c>
      <c r="CL96" s="265" t="s">
        <v>1466</v>
      </c>
      <c r="CM96" s="265">
        <v>1</v>
      </c>
      <c r="CN96" s="265" t="s">
        <v>289</v>
      </c>
      <c r="CO96" s="265">
        <v>1</v>
      </c>
      <c r="CP96" s="266" t="s">
        <v>290</v>
      </c>
      <c r="CQ96" s="260" t="s">
        <v>922</v>
      </c>
      <c r="CR96" s="260" t="s">
        <v>1579</v>
      </c>
      <c r="CS96" s="260" t="s">
        <v>1580</v>
      </c>
      <c r="CT96" s="268" t="s">
        <v>1000</v>
      </c>
      <c r="CU96" s="268" t="s">
        <v>1713</v>
      </c>
      <c r="CV96" s="268" t="s">
        <v>1711</v>
      </c>
      <c r="CW96" s="255" t="s">
        <v>923</v>
      </c>
      <c r="CX96" s="255" t="s">
        <v>924</v>
      </c>
      <c r="CY96" s="255" t="s">
        <v>925</v>
      </c>
      <c r="CZ96" s="255" t="s">
        <v>926</v>
      </c>
      <c r="DA96" s="255" t="s">
        <v>927</v>
      </c>
      <c r="DB96" s="255" t="s">
        <v>928</v>
      </c>
      <c r="DC96" s="255"/>
      <c r="DD96" s="255"/>
      <c r="DE96" s="255"/>
      <c r="DF96" s="255"/>
      <c r="DG96" s="255"/>
      <c r="DH96" s="255"/>
      <c r="DI96" s="255" t="s">
        <v>2281</v>
      </c>
      <c r="DJ96" s="255"/>
      <c r="DK96" s="255"/>
      <c r="DL96" s="255">
        <f t="shared" si="8"/>
        <v>6</v>
      </c>
    </row>
    <row r="97" spans="1:116" ht="25.5" x14ac:dyDescent="0.2">
      <c r="A97" s="111"/>
      <c r="B97" s="112" t="s">
        <v>503</v>
      </c>
      <c r="C97" s="113">
        <v>444</v>
      </c>
      <c r="D97" s="131" t="s">
        <v>1423</v>
      </c>
      <c r="E97" s="124" t="s">
        <v>480</v>
      </c>
      <c r="F97" s="121" t="s">
        <v>1352</v>
      </c>
      <c r="G97" s="121" t="s">
        <v>2230</v>
      </c>
      <c r="H97" s="121" t="s">
        <v>2593</v>
      </c>
      <c r="I97" s="122" t="s">
        <v>2231</v>
      </c>
      <c r="J97" s="121" t="s">
        <v>2177</v>
      </c>
      <c r="K97" s="124" t="s">
        <v>1302</v>
      </c>
      <c r="L97" s="124" t="s">
        <v>609</v>
      </c>
      <c r="M97" s="113" t="s">
        <v>1973</v>
      </c>
      <c r="N97" s="113" t="s">
        <v>1973</v>
      </c>
      <c r="O97" s="113" t="s">
        <v>1973</v>
      </c>
      <c r="P97" s="113" t="s">
        <v>1973</v>
      </c>
      <c r="Q97" s="113" t="s">
        <v>1973</v>
      </c>
      <c r="R97" s="113" t="s">
        <v>1981</v>
      </c>
      <c r="S97" s="113"/>
      <c r="T97" s="113"/>
      <c r="U97" s="113"/>
      <c r="V97" s="113"/>
      <c r="W97" s="113"/>
      <c r="X97" s="113"/>
      <c r="Y97" s="113"/>
      <c r="Z97" s="113"/>
      <c r="AA97" s="113">
        <v>30</v>
      </c>
      <c r="AB97" s="113">
        <v>97</v>
      </c>
      <c r="AC97" s="125">
        <f t="shared" si="10"/>
        <v>112</v>
      </c>
      <c r="AD97" s="116">
        <v>2</v>
      </c>
      <c r="AE97" s="116"/>
      <c r="AF97" s="116"/>
      <c r="AG97" s="116"/>
      <c r="AH97" s="114">
        <v>0.2</v>
      </c>
      <c r="AI97" s="116" t="s">
        <v>298</v>
      </c>
      <c r="AJ97" s="116" t="s">
        <v>2067</v>
      </c>
      <c r="AK97" s="114" t="s">
        <v>1813</v>
      </c>
      <c r="AL97" s="114" t="s">
        <v>1280</v>
      </c>
      <c r="AM97" s="114" t="s">
        <v>934</v>
      </c>
      <c r="AN97" s="114">
        <v>0.2</v>
      </c>
      <c r="AO97" s="114">
        <v>0</v>
      </c>
      <c r="AP97" s="114">
        <v>0.2</v>
      </c>
      <c r="AQ97" s="114">
        <v>0.2</v>
      </c>
      <c r="AR97" s="114">
        <v>0</v>
      </c>
      <c r="AS97" s="114">
        <v>0.2</v>
      </c>
      <c r="AT97" s="114" t="s">
        <v>952</v>
      </c>
      <c r="AU97" s="113" t="s">
        <v>1462</v>
      </c>
      <c r="AV97" s="116">
        <v>1.5</v>
      </c>
      <c r="AW97" s="116"/>
      <c r="AX97" s="116"/>
      <c r="AY97" s="116"/>
      <c r="AZ97" s="116"/>
      <c r="BA97" s="116"/>
      <c r="BB97" s="126" t="s">
        <v>2420</v>
      </c>
      <c r="BC97" s="127">
        <v>45737</v>
      </c>
      <c r="BD97" s="113" t="s">
        <v>2421</v>
      </c>
      <c r="BE97" s="113" t="s">
        <v>186</v>
      </c>
      <c r="BF97" s="116">
        <v>2</v>
      </c>
      <c r="BG97" s="116"/>
      <c r="BH97" s="116"/>
      <c r="BI97" s="116"/>
      <c r="BJ97" s="116"/>
      <c r="BK97" s="116"/>
      <c r="BL97" s="116"/>
      <c r="BM97" s="116">
        <v>2</v>
      </c>
      <c r="BN97" s="116">
        <v>0</v>
      </c>
      <c r="BO97" s="117" t="s">
        <v>614</v>
      </c>
      <c r="BP97" s="117">
        <v>1.5</v>
      </c>
      <c r="BQ97" s="130" t="s">
        <v>1310</v>
      </c>
      <c r="BR97" s="116">
        <v>1.5</v>
      </c>
      <c r="BS97" s="113" t="s">
        <v>23</v>
      </c>
      <c r="BT97" s="116" t="s">
        <v>169</v>
      </c>
      <c r="BU97" s="113" t="s">
        <v>132</v>
      </c>
      <c r="BV97" s="113" t="s">
        <v>1917</v>
      </c>
      <c r="BW97" s="113" t="s">
        <v>2582</v>
      </c>
      <c r="BX97" s="116">
        <f>AN97*10</f>
        <v>2</v>
      </c>
      <c r="BY97" s="113" t="s">
        <v>158</v>
      </c>
      <c r="BZ97" s="113" t="s">
        <v>1386</v>
      </c>
      <c r="CA97" s="113">
        <v>1.5</v>
      </c>
      <c r="CB97" s="113">
        <v>0</v>
      </c>
      <c r="CC97" s="113">
        <v>0</v>
      </c>
      <c r="CD97" s="113">
        <v>0</v>
      </c>
      <c r="CE97" s="118">
        <v>2</v>
      </c>
      <c r="CF97" s="118">
        <v>0.2</v>
      </c>
      <c r="CG97" s="117" t="s">
        <v>1053</v>
      </c>
      <c r="CH97" s="117" t="s">
        <v>2644</v>
      </c>
      <c r="CI97" s="118">
        <v>2</v>
      </c>
      <c r="CJ97" s="118">
        <v>0</v>
      </c>
      <c r="CK97" s="119">
        <v>2025.0356999999999</v>
      </c>
      <c r="CL97" s="117" t="s">
        <v>23</v>
      </c>
      <c r="CM97" s="117">
        <v>2</v>
      </c>
      <c r="CN97" s="117" t="s">
        <v>289</v>
      </c>
      <c r="CO97" s="117">
        <v>2</v>
      </c>
      <c r="CP97" s="118" t="s">
        <v>290</v>
      </c>
      <c r="CQ97" s="132" t="s">
        <v>1529</v>
      </c>
      <c r="CR97" s="132" t="s">
        <v>1581</v>
      </c>
      <c r="CS97" s="132" t="s">
        <v>1582</v>
      </c>
      <c r="CT97" s="129" t="s">
        <v>1000</v>
      </c>
      <c r="CU97" s="129" t="s">
        <v>1713</v>
      </c>
      <c r="CV97" s="129" t="s">
        <v>324</v>
      </c>
      <c r="CW97" s="112" t="s">
        <v>886</v>
      </c>
      <c r="CX97" s="112" t="s">
        <v>887</v>
      </c>
      <c r="CY97" s="112" t="s">
        <v>888</v>
      </c>
      <c r="CZ97" s="112" t="s">
        <v>1526</v>
      </c>
      <c r="DA97" s="112"/>
      <c r="DB97" s="112"/>
      <c r="DC97" s="112"/>
      <c r="DD97" s="112"/>
      <c r="DE97" s="112"/>
      <c r="DF97" s="112"/>
      <c r="DG97" s="112"/>
      <c r="DH97" s="112"/>
      <c r="DI97" s="112" t="s">
        <v>2281</v>
      </c>
      <c r="DJ97" s="112"/>
      <c r="DK97" s="112"/>
      <c r="DL97" s="112">
        <f t="shared" si="8"/>
        <v>4</v>
      </c>
    </row>
    <row r="98" spans="1:116" s="253" customFormat="1" ht="25.5" x14ac:dyDescent="0.2">
      <c r="A98" s="254"/>
      <c r="B98" s="255" t="s">
        <v>725</v>
      </c>
      <c r="C98" s="256"/>
      <c r="D98" s="274" t="s">
        <v>2085</v>
      </c>
      <c r="E98" s="260" t="s">
        <v>480</v>
      </c>
      <c r="F98" s="258" t="s">
        <v>1352</v>
      </c>
      <c r="G98" s="258" t="s">
        <v>2230</v>
      </c>
      <c r="H98" s="258" t="s">
        <v>2593</v>
      </c>
      <c r="I98" s="259" t="s">
        <v>2231</v>
      </c>
      <c r="J98" s="258" t="s">
        <v>2086</v>
      </c>
      <c r="K98" s="260"/>
      <c r="L98" s="260"/>
      <c r="M98" s="256" t="s">
        <v>1975</v>
      </c>
      <c r="N98" s="256" t="s">
        <v>1979</v>
      </c>
      <c r="O98" s="256"/>
      <c r="P98" s="256"/>
      <c r="Q98" s="256"/>
      <c r="R98" s="256"/>
      <c r="S98" s="256"/>
      <c r="T98" s="256"/>
      <c r="U98" s="256"/>
      <c r="V98" s="256"/>
      <c r="W98" s="256"/>
      <c r="X98" s="256"/>
      <c r="Y98" s="256"/>
      <c r="Z98" s="256"/>
      <c r="AA98" s="256">
        <v>12</v>
      </c>
      <c r="AB98" s="256">
        <v>26</v>
      </c>
      <c r="AC98" s="261">
        <v>32</v>
      </c>
      <c r="AD98" s="262">
        <v>0.5</v>
      </c>
      <c r="AE98" s="262" t="s">
        <v>1984</v>
      </c>
      <c r="AF98" s="262"/>
      <c r="AG98" s="262"/>
      <c r="AH98" s="261">
        <v>0</v>
      </c>
      <c r="AI98" s="262" t="s">
        <v>162</v>
      </c>
      <c r="AJ98" s="262" t="s">
        <v>2206</v>
      </c>
      <c r="AK98" s="263"/>
      <c r="AL98" s="263"/>
      <c r="AM98" s="263"/>
      <c r="AN98" s="263">
        <v>0.05</v>
      </c>
      <c r="AO98" s="263">
        <v>0</v>
      </c>
      <c r="AP98" s="263">
        <v>0.05</v>
      </c>
      <c r="AQ98" s="263">
        <v>0.05</v>
      </c>
      <c r="AR98" s="263">
        <v>0</v>
      </c>
      <c r="AS98" s="263">
        <v>0.05</v>
      </c>
      <c r="AT98" s="263" t="s">
        <v>952</v>
      </c>
      <c r="AU98" s="256" t="s">
        <v>2221</v>
      </c>
      <c r="AV98" s="261">
        <v>0</v>
      </c>
      <c r="AW98" s="262"/>
      <c r="AX98" s="262"/>
      <c r="AY98" s="262"/>
      <c r="AZ98" s="262"/>
      <c r="BA98" s="262"/>
      <c r="BB98" s="269" t="s">
        <v>178</v>
      </c>
      <c r="BC98" s="269" t="s">
        <v>178</v>
      </c>
      <c r="BD98" s="256" t="s">
        <v>178</v>
      </c>
      <c r="BE98" s="256" t="s">
        <v>178</v>
      </c>
      <c r="BF98" s="262">
        <v>0</v>
      </c>
      <c r="BG98" s="262"/>
      <c r="BH98" s="262"/>
      <c r="BI98" s="262"/>
      <c r="BJ98" s="262"/>
      <c r="BK98" s="262"/>
      <c r="BL98" s="262"/>
      <c r="BM98" s="262">
        <v>0.5</v>
      </c>
      <c r="BN98" s="262">
        <v>0</v>
      </c>
      <c r="BO98" s="265" t="s">
        <v>613</v>
      </c>
      <c r="BP98" s="265">
        <v>0.5</v>
      </c>
      <c r="BQ98" s="271" t="s">
        <v>2333</v>
      </c>
      <c r="BR98" s="262">
        <v>0.5</v>
      </c>
      <c r="BS98" s="256" t="s">
        <v>23</v>
      </c>
      <c r="BT98" s="262" t="s">
        <v>169</v>
      </c>
      <c r="BU98" s="256"/>
      <c r="BV98" s="256" t="s">
        <v>2205</v>
      </c>
      <c r="BW98" s="256" t="s">
        <v>2583</v>
      </c>
      <c r="BX98" s="262">
        <v>0.5</v>
      </c>
      <c r="BY98" s="256" t="s">
        <v>158</v>
      </c>
      <c r="BZ98" s="256" t="s">
        <v>2641</v>
      </c>
      <c r="CA98" s="256">
        <v>0.5</v>
      </c>
      <c r="CB98" s="256">
        <v>0</v>
      </c>
      <c r="CC98" s="256">
        <v>0</v>
      </c>
      <c r="CD98" s="256">
        <v>0</v>
      </c>
      <c r="CE98" s="266">
        <v>0.5</v>
      </c>
      <c r="CF98" s="266" t="s">
        <v>169</v>
      </c>
      <c r="CG98" s="265" t="s">
        <v>169</v>
      </c>
      <c r="CH98" s="265" t="s">
        <v>2644</v>
      </c>
      <c r="CI98" s="266">
        <v>0.5</v>
      </c>
      <c r="CJ98" s="266">
        <v>0</v>
      </c>
      <c r="CK98" s="267">
        <v>2025.0358000000001</v>
      </c>
      <c r="CL98" s="265" t="s">
        <v>23</v>
      </c>
      <c r="CM98" s="265">
        <v>0.5</v>
      </c>
      <c r="CN98" s="265" t="s">
        <v>289</v>
      </c>
      <c r="CO98" s="265">
        <v>0.5</v>
      </c>
      <c r="CP98" s="266" t="s">
        <v>290</v>
      </c>
      <c r="CQ98" s="275" t="s">
        <v>2087</v>
      </c>
      <c r="CR98" s="275"/>
      <c r="CS98" s="275" t="s">
        <v>2227</v>
      </c>
      <c r="CT98" s="268" t="s">
        <v>1000</v>
      </c>
      <c r="CU98" s="268" t="s">
        <v>1714</v>
      </c>
      <c r="CV98" s="268" t="s">
        <v>324</v>
      </c>
      <c r="CW98" s="255" t="s">
        <v>2088</v>
      </c>
      <c r="CX98" s="255" t="s">
        <v>2089</v>
      </c>
      <c r="CY98" s="255"/>
      <c r="CZ98" s="255"/>
      <c r="DA98" s="255"/>
      <c r="DB98" s="255"/>
      <c r="DC98" s="255"/>
      <c r="DD98" s="255"/>
      <c r="DE98" s="255"/>
      <c r="DF98" s="255"/>
      <c r="DG98" s="255"/>
      <c r="DH98" s="255"/>
      <c r="DI98" s="255" t="s">
        <v>2281</v>
      </c>
      <c r="DJ98" s="255"/>
      <c r="DK98" s="255"/>
      <c r="DL98" s="255">
        <f t="shared" si="8"/>
        <v>2</v>
      </c>
    </row>
    <row r="99" spans="1:116" ht="26.25" thickBot="1" x14ac:dyDescent="0.25">
      <c r="A99" s="196"/>
      <c r="B99" s="197" t="s">
        <v>2211</v>
      </c>
      <c r="C99" s="198">
        <v>445</v>
      </c>
      <c r="D99" s="215" t="s">
        <v>1390</v>
      </c>
      <c r="E99" s="202" t="s">
        <v>480</v>
      </c>
      <c r="F99" s="200" t="s">
        <v>1352</v>
      </c>
      <c r="G99" s="200" t="s">
        <v>2230</v>
      </c>
      <c r="H99" s="200" t="s">
        <v>2593</v>
      </c>
      <c r="I99" s="201" t="s">
        <v>2231</v>
      </c>
      <c r="J99" s="200" t="s">
        <v>2178</v>
      </c>
      <c r="K99" s="202" t="s">
        <v>1806</v>
      </c>
      <c r="L99" s="202" t="s">
        <v>610</v>
      </c>
      <c r="M99" s="198"/>
      <c r="N99" s="198"/>
      <c r="O99" s="198"/>
      <c r="P99" s="198"/>
      <c r="Q99" s="198"/>
      <c r="R99" s="198"/>
      <c r="S99" s="198"/>
      <c r="T99" s="198"/>
      <c r="U99" s="198"/>
      <c r="V99" s="198"/>
      <c r="W99" s="198"/>
      <c r="X99" s="198"/>
      <c r="Y99" s="198"/>
      <c r="Z99" s="198"/>
      <c r="AA99" s="198">
        <f t="shared" si="11"/>
        <v>0</v>
      </c>
      <c r="AB99" s="198"/>
      <c r="AC99" s="203">
        <f t="shared" si="10"/>
        <v>0</v>
      </c>
      <c r="AD99" s="204">
        <v>1.5</v>
      </c>
      <c r="AE99" s="204"/>
      <c r="AF99" s="204"/>
      <c r="AG99" s="204"/>
      <c r="AH99" s="203">
        <v>0</v>
      </c>
      <c r="AI99" s="204" t="s">
        <v>162</v>
      </c>
      <c r="AJ99" s="204"/>
      <c r="AK99" s="205"/>
      <c r="AL99" s="205" t="s">
        <v>1809</v>
      </c>
      <c r="AM99" s="205" t="s">
        <v>689</v>
      </c>
      <c r="AN99" s="205">
        <v>0.15</v>
      </c>
      <c r="AO99" s="205">
        <v>0.15</v>
      </c>
      <c r="AP99" s="205">
        <v>0.15</v>
      </c>
      <c r="AQ99" s="205">
        <v>0.15</v>
      </c>
      <c r="AR99" s="205">
        <v>0.15</v>
      </c>
      <c r="AS99" s="205">
        <v>0</v>
      </c>
      <c r="AT99" s="205"/>
      <c r="AU99" s="198"/>
      <c r="AV99" s="203">
        <v>0</v>
      </c>
      <c r="AW99" s="204"/>
      <c r="AX99" s="204"/>
      <c r="AY99" s="204"/>
      <c r="AZ99" s="204"/>
      <c r="BA99" s="204"/>
      <c r="BB99" s="198" t="s">
        <v>198</v>
      </c>
      <c r="BC99" s="198"/>
      <c r="BD99" s="198" t="s">
        <v>197</v>
      </c>
      <c r="BE99" s="198" t="s">
        <v>186</v>
      </c>
      <c r="BF99" s="204">
        <v>1</v>
      </c>
      <c r="BG99" s="204"/>
      <c r="BH99" s="204"/>
      <c r="BI99" s="204"/>
      <c r="BJ99" s="204"/>
      <c r="BK99" s="204"/>
      <c r="BL99" s="204"/>
      <c r="BM99" s="204">
        <v>1.5</v>
      </c>
      <c r="BN99" s="204">
        <v>0</v>
      </c>
      <c r="BO99" s="208" t="s">
        <v>614</v>
      </c>
      <c r="BP99" s="208">
        <v>1.5</v>
      </c>
      <c r="BQ99" s="198" t="s">
        <v>1311</v>
      </c>
      <c r="BR99" s="204">
        <v>1.5</v>
      </c>
      <c r="BS99" s="198" t="s">
        <v>23</v>
      </c>
      <c r="BT99" s="204" t="s">
        <v>169</v>
      </c>
      <c r="BU99" s="198" t="s">
        <v>159</v>
      </c>
      <c r="BV99" s="198" t="s">
        <v>1912</v>
      </c>
      <c r="BW99" s="198" t="s">
        <v>2584</v>
      </c>
      <c r="BX99" s="204">
        <f>AN99*10</f>
        <v>1.5</v>
      </c>
      <c r="BY99" s="198" t="s">
        <v>149</v>
      </c>
      <c r="BZ99" s="198" t="s">
        <v>1387</v>
      </c>
      <c r="CA99" s="198">
        <v>1.5</v>
      </c>
      <c r="CB99" s="198">
        <v>1.5</v>
      </c>
      <c r="CC99" s="198">
        <v>0</v>
      </c>
      <c r="CD99" s="198">
        <v>0</v>
      </c>
      <c r="CE99" s="210">
        <v>1.5</v>
      </c>
      <c r="CF99" s="210">
        <v>0.1</v>
      </c>
      <c r="CG99" s="208" t="s">
        <v>1054</v>
      </c>
      <c r="CH99" s="208" t="s">
        <v>2644</v>
      </c>
      <c r="CI99" s="210">
        <v>1.5</v>
      </c>
      <c r="CJ99" s="210">
        <v>1.5</v>
      </c>
      <c r="CK99" s="211">
        <v>2025.0359000000001</v>
      </c>
      <c r="CL99" s="208" t="s">
        <v>317</v>
      </c>
      <c r="CM99" s="208">
        <v>1.5</v>
      </c>
      <c r="CN99" s="208" t="s">
        <v>289</v>
      </c>
      <c r="CO99" s="208">
        <v>1.5</v>
      </c>
      <c r="CP99" s="210" t="s">
        <v>290</v>
      </c>
      <c r="CQ99" s="219" t="s">
        <v>894</v>
      </c>
      <c r="CR99" s="219"/>
      <c r="CS99" s="219"/>
      <c r="CT99" s="218" t="s">
        <v>1000</v>
      </c>
      <c r="CU99" s="218" t="s">
        <v>1713</v>
      </c>
      <c r="CV99" s="218" t="s">
        <v>1711</v>
      </c>
      <c r="CW99" s="197" t="s">
        <v>889</v>
      </c>
      <c r="CX99" s="197" t="s">
        <v>890</v>
      </c>
      <c r="CY99" s="197" t="s">
        <v>891</v>
      </c>
      <c r="CZ99" s="197" t="s">
        <v>892</v>
      </c>
      <c r="DA99" s="197" t="s">
        <v>893</v>
      </c>
      <c r="DB99" s="197"/>
      <c r="DC99" s="197"/>
      <c r="DD99" s="197"/>
      <c r="DE99" s="197"/>
      <c r="DF99" s="197"/>
      <c r="DG99" s="197"/>
      <c r="DH99" s="197"/>
      <c r="DI99" s="197" t="s">
        <v>2281</v>
      </c>
      <c r="DJ99" s="197"/>
      <c r="DK99" s="197"/>
      <c r="DL99" s="197">
        <f t="shared" si="8"/>
        <v>5</v>
      </c>
    </row>
    <row r="100" spans="1:116" s="195" customFormat="1" ht="14.25" thickTop="1" thickBot="1" x14ac:dyDescent="0.25">
      <c r="A100" s="311"/>
      <c r="B100" s="178"/>
      <c r="C100" s="179"/>
      <c r="D100" s="180" t="s">
        <v>1219</v>
      </c>
      <c r="E100" s="181"/>
      <c r="F100" s="181"/>
      <c r="G100" s="181"/>
      <c r="H100" s="181"/>
      <c r="I100" s="182"/>
      <c r="J100" s="181"/>
      <c r="K100" s="213"/>
      <c r="L100" s="213"/>
      <c r="M100" s="213"/>
      <c r="N100" s="213"/>
      <c r="O100" s="213"/>
      <c r="P100" s="213"/>
      <c r="Q100" s="213"/>
      <c r="R100" s="213"/>
      <c r="S100" s="213"/>
      <c r="T100" s="213"/>
      <c r="U100" s="213"/>
      <c r="V100" s="213"/>
      <c r="W100" s="213"/>
      <c r="X100" s="213"/>
      <c r="Y100" s="213"/>
      <c r="Z100" s="213"/>
      <c r="AA100" s="213"/>
      <c r="AB100" s="213"/>
      <c r="AC100" s="214"/>
      <c r="AD100" s="189"/>
      <c r="AE100" s="189"/>
      <c r="AF100" s="189"/>
      <c r="AG100" s="189"/>
      <c r="AH100" s="187"/>
      <c r="AI100" s="189"/>
      <c r="AJ100" s="189"/>
      <c r="AK100" s="187"/>
      <c r="AL100" s="187"/>
      <c r="AM100" s="187"/>
      <c r="AN100" s="187"/>
      <c r="AO100" s="187"/>
      <c r="AP100" s="187"/>
      <c r="AQ100" s="187"/>
      <c r="AR100" s="187"/>
      <c r="AS100" s="187"/>
      <c r="AT100" s="187"/>
      <c r="AU100" s="179"/>
      <c r="AV100" s="189"/>
      <c r="AW100" s="189"/>
      <c r="AX100" s="189"/>
      <c r="AY100" s="189"/>
      <c r="AZ100" s="189"/>
      <c r="BA100" s="189"/>
      <c r="BB100" s="179"/>
      <c r="BC100" s="179"/>
      <c r="BD100" s="179"/>
      <c r="BE100" s="179"/>
      <c r="BF100" s="189"/>
      <c r="BG100" s="189"/>
      <c r="BH100" s="189"/>
      <c r="BI100" s="189"/>
      <c r="BJ100" s="189"/>
      <c r="BK100" s="189"/>
      <c r="BL100" s="189"/>
      <c r="BM100" s="189"/>
      <c r="BN100" s="189"/>
      <c r="BO100" s="190"/>
      <c r="BP100" s="190"/>
      <c r="BQ100" s="179"/>
      <c r="BR100" s="189"/>
      <c r="BS100" s="179"/>
      <c r="BT100" s="189"/>
      <c r="BU100" s="179"/>
      <c r="BV100" s="179"/>
      <c r="BW100" s="179"/>
      <c r="BX100" s="189"/>
      <c r="BY100" s="179"/>
      <c r="BZ100" s="179"/>
      <c r="CA100" s="179"/>
      <c r="CB100" s="179"/>
      <c r="CC100" s="179"/>
      <c r="CD100" s="179"/>
      <c r="CE100" s="190"/>
      <c r="CF100" s="193"/>
      <c r="CG100" s="190"/>
      <c r="CH100" s="190"/>
      <c r="CI100" s="193"/>
      <c r="CJ100" s="193"/>
      <c r="CK100" s="194"/>
      <c r="CL100" s="190"/>
      <c r="CM100" s="190"/>
      <c r="CN100" s="190"/>
      <c r="CO100" s="190"/>
      <c r="CP100" s="193"/>
      <c r="CQ100" s="178"/>
      <c r="CR100" s="178"/>
      <c r="CS100" s="178"/>
      <c r="CT100" s="178"/>
      <c r="CU100" s="178"/>
      <c r="CV100" s="178"/>
      <c r="CW100" s="178"/>
      <c r="CX100" s="178"/>
      <c r="CY100" s="178"/>
      <c r="CZ100" s="178"/>
      <c r="DA100" s="178"/>
      <c r="DB100" s="178"/>
      <c r="DC100" s="178"/>
      <c r="DD100" s="178"/>
      <c r="DE100" s="178"/>
      <c r="DF100" s="178"/>
      <c r="DG100" s="178"/>
      <c r="DH100" s="178"/>
      <c r="DI100" s="178"/>
      <c r="DJ100" s="178"/>
      <c r="DK100" s="178"/>
      <c r="DL100" s="178">
        <f t="shared" si="8"/>
        <v>0</v>
      </c>
    </row>
    <row r="101" spans="1:116" s="253" customFormat="1" ht="13.5" thickTop="1" x14ac:dyDescent="0.2">
      <c r="A101" s="237"/>
      <c r="B101" s="238" t="s">
        <v>1220</v>
      </c>
      <c r="C101" s="239"/>
      <c r="D101" s="272"/>
      <c r="E101" s="244"/>
      <c r="F101" s="244"/>
      <c r="G101" s="244"/>
      <c r="H101" s="244"/>
      <c r="I101" s="239"/>
      <c r="J101" s="244"/>
      <c r="K101" s="244"/>
      <c r="L101" s="244"/>
      <c r="M101" s="239"/>
      <c r="N101" s="239"/>
      <c r="O101" s="239"/>
      <c r="P101" s="239"/>
      <c r="Q101" s="239"/>
      <c r="R101" s="239"/>
      <c r="S101" s="239"/>
      <c r="T101" s="239"/>
      <c r="U101" s="239"/>
      <c r="V101" s="239"/>
      <c r="W101" s="239"/>
      <c r="X101" s="239"/>
      <c r="Y101" s="239"/>
      <c r="Z101" s="239"/>
      <c r="AA101" s="239"/>
      <c r="AB101" s="239"/>
      <c r="AC101" s="245"/>
      <c r="AD101" s="246"/>
      <c r="AE101" s="246"/>
      <c r="AF101" s="246"/>
      <c r="AG101" s="246"/>
      <c r="AH101" s="247"/>
      <c r="AI101" s="246"/>
      <c r="AJ101" s="246"/>
      <c r="AK101" s="247"/>
      <c r="AL101" s="247"/>
      <c r="AM101" s="247"/>
      <c r="AN101" s="247"/>
      <c r="AO101" s="247"/>
      <c r="AP101" s="247"/>
      <c r="AQ101" s="247"/>
      <c r="AR101" s="247"/>
      <c r="AS101" s="247"/>
      <c r="AT101" s="247"/>
      <c r="AU101" s="239"/>
      <c r="AV101" s="246"/>
      <c r="AW101" s="246"/>
      <c r="AX101" s="246"/>
      <c r="AY101" s="246"/>
      <c r="AZ101" s="246"/>
      <c r="BA101" s="246"/>
      <c r="BB101" s="239"/>
      <c r="BC101" s="239"/>
      <c r="BD101" s="239"/>
      <c r="BE101" s="239"/>
      <c r="BF101" s="246"/>
      <c r="BG101" s="246"/>
      <c r="BH101" s="246"/>
      <c r="BI101" s="246"/>
      <c r="BJ101" s="246"/>
      <c r="BK101" s="246"/>
      <c r="BL101" s="246"/>
      <c r="BM101" s="246"/>
      <c r="BN101" s="246"/>
      <c r="BO101" s="250"/>
      <c r="BP101" s="250"/>
      <c r="BQ101" s="239"/>
      <c r="BR101" s="246"/>
      <c r="BS101" s="239"/>
      <c r="BT101" s="246"/>
      <c r="BU101" s="239"/>
      <c r="BV101" s="239"/>
      <c r="BW101" s="239"/>
      <c r="BX101" s="246"/>
      <c r="BY101" s="239"/>
      <c r="BZ101" s="239"/>
      <c r="CA101" s="239"/>
      <c r="CB101" s="239"/>
      <c r="CC101" s="239"/>
      <c r="CD101" s="239"/>
      <c r="CE101" s="250"/>
      <c r="CF101" s="251"/>
      <c r="CG101" s="250"/>
      <c r="CH101" s="250"/>
      <c r="CI101" s="251"/>
      <c r="CJ101" s="251"/>
      <c r="CK101" s="252"/>
      <c r="CL101" s="250"/>
      <c r="CM101" s="250"/>
      <c r="CN101" s="250"/>
      <c r="CO101" s="250"/>
      <c r="CP101" s="251"/>
      <c r="CQ101" s="303"/>
      <c r="CR101" s="303"/>
      <c r="CS101" s="303"/>
      <c r="CT101" s="296"/>
      <c r="CU101" s="296"/>
      <c r="CV101" s="296"/>
      <c r="CW101" s="238"/>
      <c r="CX101" s="238"/>
      <c r="CY101" s="238"/>
      <c r="CZ101" s="238"/>
      <c r="DA101" s="238"/>
      <c r="DB101" s="238"/>
      <c r="DC101" s="238"/>
      <c r="DD101" s="238"/>
      <c r="DE101" s="238"/>
      <c r="DF101" s="238"/>
      <c r="DG101" s="238"/>
      <c r="DH101" s="238"/>
      <c r="DI101" s="238"/>
      <c r="DJ101" s="238"/>
      <c r="DK101" s="238"/>
      <c r="DL101" s="238">
        <f t="shared" si="8"/>
        <v>0</v>
      </c>
    </row>
    <row r="102" spans="1:116" x14ac:dyDescent="0.2">
      <c r="A102" s="111"/>
      <c r="B102" s="112" t="s">
        <v>1221</v>
      </c>
      <c r="C102" s="113"/>
      <c r="D102" s="131"/>
      <c r="E102" s="124"/>
      <c r="F102" s="124"/>
      <c r="G102" s="124"/>
      <c r="H102" s="124"/>
      <c r="I102" s="113"/>
      <c r="J102" s="124"/>
      <c r="K102" s="124"/>
      <c r="L102" s="124"/>
      <c r="M102" s="113"/>
      <c r="N102" s="113"/>
      <c r="O102" s="113"/>
      <c r="P102" s="113"/>
      <c r="Q102" s="113"/>
      <c r="R102" s="113"/>
      <c r="S102" s="113"/>
      <c r="T102" s="113"/>
      <c r="U102" s="113"/>
      <c r="V102" s="113"/>
      <c r="W102" s="113"/>
      <c r="X102" s="113"/>
      <c r="Y102" s="113"/>
      <c r="Z102" s="113"/>
      <c r="AA102" s="113"/>
      <c r="AB102" s="113"/>
      <c r="AC102" s="125"/>
      <c r="AD102" s="116"/>
      <c r="AE102" s="116"/>
      <c r="AF102" s="116"/>
      <c r="AG102" s="116"/>
      <c r="AH102" s="114"/>
      <c r="AI102" s="116"/>
      <c r="AJ102" s="116"/>
      <c r="AK102" s="114"/>
      <c r="AL102" s="114"/>
      <c r="AM102" s="114"/>
      <c r="AN102" s="114"/>
      <c r="AO102" s="114"/>
      <c r="AP102" s="114"/>
      <c r="AQ102" s="114"/>
      <c r="AR102" s="114"/>
      <c r="AS102" s="114"/>
      <c r="AT102" s="114"/>
      <c r="AU102" s="113"/>
      <c r="AV102" s="116"/>
      <c r="AW102" s="116"/>
      <c r="AX102" s="116"/>
      <c r="AY102" s="116"/>
      <c r="AZ102" s="116"/>
      <c r="BA102" s="116"/>
      <c r="BB102" s="113"/>
      <c r="BC102" s="113"/>
      <c r="BD102" s="113"/>
      <c r="BE102" s="113"/>
      <c r="BF102" s="116"/>
      <c r="BG102" s="116"/>
      <c r="BH102" s="116"/>
      <c r="BI102" s="116"/>
      <c r="BJ102" s="116"/>
      <c r="BK102" s="116"/>
      <c r="BL102" s="116"/>
      <c r="BM102" s="116"/>
      <c r="BN102" s="116"/>
      <c r="BO102" s="117"/>
      <c r="BP102" s="117"/>
      <c r="BQ102" s="113"/>
      <c r="BR102" s="116"/>
      <c r="BS102" s="113"/>
      <c r="BT102" s="116"/>
      <c r="BU102" s="113"/>
      <c r="BV102" s="113"/>
      <c r="BW102" s="113"/>
      <c r="BX102" s="116"/>
      <c r="BY102" s="113"/>
      <c r="BZ102" s="113"/>
      <c r="CA102" s="113"/>
      <c r="CB102" s="113"/>
      <c r="CC102" s="113"/>
      <c r="CD102" s="113"/>
      <c r="CE102" s="117"/>
      <c r="CF102" s="118"/>
      <c r="CG102" s="117"/>
      <c r="CH102" s="117"/>
      <c r="CI102" s="118"/>
      <c r="CJ102" s="118"/>
      <c r="CK102" s="119"/>
      <c r="CL102" s="117"/>
      <c r="CM102" s="117"/>
      <c r="CN102" s="117"/>
      <c r="CO102" s="117"/>
      <c r="CP102" s="118"/>
      <c r="CQ102" s="132"/>
      <c r="CR102" s="132"/>
      <c r="CS102" s="132"/>
      <c r="CT102" s="129"/>
      <c r="CU102" s="129"/>
      <c r="CV102" s="129"/>
      <c r="CW102" s="112"/>
      <c r="CX102" s="112"/>
      <c r="CY102" s="112"/>
      <c r="CZ102" s="112"/>
      <c r="DA102" s="112"/>
      <c r="DB102" s="112"/>
      <c r="DC102" s="112"/>
      <c r="DD102" s="112"/>
      <c r="DE102" s="112"/>
      <c r="DF102" s="112"/>
      <c r="DG102" s="112"/>
      <c r="DH102" s="112"/>
      <c r="DI102" s="112"/>
      <c r="DJ102" s="112"/>
      <c r="DK102" s="112"/>
      <c r="DL102" s="112">
        <f t="shared" si="8"/>
        <v>0</v>
      </c>
    </row>
    <row r="103" spans="1:116" s="253" customFormat="1" x14ac:dyDescent="0.2">
      <c r="A103" s="254"/>
      <c r="B103" s="255" t="s">
        <v>1222</v>
      </c>
      <c r="C103" s="256"/>
      <c r="D103" s="274"/>
      <c r="E103" s="260"/>
      <c r="F103" s="260"/>
      <c r="G103" s="260"/>
      <c r="H103" s="260"/>
      <c r="I103" s="256"/>
      <c r="J103" s="260"/>
      <c r="K103" s="260"/>
      <c r="L103" s="260"/>
      <c r="M103" s="256"/>
      <c r="N103" s="256"/>
      <c r="O103" s="256"/>
      <c r="P103" s="256"/>
      <c r="Q103" s="256"/>
      <c r="R103" s="256"/>
      <c r="S103" s="256"/>
      <c r="T103" s="256"/>
      <c r="U103" s="256"/>
      <c r="V103" s="256"/>
      <c r="W103" s="256"/>
      <c r="X103" s="256"/>
      <c r="Y103" s="256"/>
      <c r="Z103" s="256"/>
      <c r="AA103" s="256"/>
      <c r="AB103" s="256"/>
      <c r="AC103" s="261"/>
      <c r="AD103" s="262"/>
      <c r="AE103" s="262"/>
      <c r="AF103" s="262"/>
      <c r="AG103" s="262"/>
      <c r="AH103" s="263"/>
      <c r="AI103" s="262"/>
      <c r="AJ103" s="262"/>
      <c r="AK103" s="263"/>
      <c r="AL103" s="263"/>
      <c r="AM103" s="263"/>
      <c r="AN103" s="263"/>
      <c r="AO103" s="263"/>
      <c r="AP103" s="263"/>
      <c r="AQ103" s="263"/>
      <c r="AR103" s="263"/>
      <c r="AS103" s="263"/>
      <c r="AT103" s="263"/>
      <c r="AU103" s="256"/>
      <c r="AV103" s="262"/>
      <c r="AW103" s="262"/>
      <c r="AX103" s="262"/>
      <c r="AY103" s="262"/>
      <c r="AZ103" s="262"/>
      <c r="BA103" s="262"/>
      <c r="BB103" s="256"/>
      <c r="BC103" s="256"/>
      <c r="BD103" s="256"/>
      <c r="BE103" s="256"/>
      <c r="BF103" s="262"/>
      <c r="BG103" s="262"/>
      <c r="BH103" s="262"/>
      <c r="BI103" s="262"/>
      <c r="BJ103" s="262"/>
      <c r="BK103" s="262"/>
      <c r="BL103" s="262"/>
      <c r="BM103" s="262"/>
      <c r="BN103" s="262"/>
      <c r="BO103" s="265"/>
      <c r="BP103" s="265"/>
      <c r="BQ103" s="256"/>
      <c r="BR103" s="262"/>
      <c r="BS103" s="256"/>
      <c r="BT103" s="262"/>
      <c r="BU103" s="256"/>
      <c r="BV103" s="256"/>
      <c r="BW103" s="256"/>
      <c r="BX103" s="262"/>
      <c r="BY103" s="256"/>
      <c r="BZ103" s="256"/>
      <c r="CA103" s="256"/>
      <c r="CB103" s="256"/>
      <c r="CC103" s="256"/>
      <c r="CD103" s="256"/>
      <c r="CE103" s="265"/>
      <c r="CF103" s="266"/>
      <c r="CG103" s="265"/>
      <c r="CH103" s="265"/>
      <c r="CI103" s="266"/>
      <c r="CJ103" s="266"/>
      <c r="CK103" s="267"/>
      <c r="CL103" s="265"/>
      <c r="CM103" s="265"/>
      <c r="CN103" s="265"/>
      <c r="CO103" s="265"/>
      <c r="CP103" s="266"/>
      <c r="CQ103" s="275"/>
      <c r="CR103" s="275"/>
      <c r="CS103" s="275"/>
      <c r="CT103" s="268"/>
      <c r="CU103" s="268"/>
      <c r="CV103" s="268"/>
      <c r="CW103" s="255"/>
      <c r="CX103" s="255"/>
      <c r="CY103" s="255"/>
      <c r="CZ103" s="255"/>
      <c r="DA103" s="255"/>
      <c r="DB103" s="255"/>
      <c r="DC103" s="255"/>
      <c r="DD103" s="255"/>
      <c r="DE103" s="255"/>
      <c r="DF103" s="255"/>
      <c r="DG103" s="255"/>
      <c r="DH103" s="255"/>
      <c r="DI103" s="255"/>
      <c r="DJ103" s="255"/>
      <c r="DK103" s="255"/>
      <c r="DL103" s="255">
        <f t="shared" si="8"/>
        <v>0</v>
      </c>
    </row>
    <row r="104" spans="1:116" x14ac:dyDescent="0.2">
      <c r="A104" s="111"/>
      <c r="B104" s="112" t="s">
        <v>1223</v>
      </c>
      <c r="C104" s="113"/>
      <c r="D104" s="131"/>
      <c r="E104" s="124"/>
      <c r="F104" s="124"/>
      <c r="G104" s="124"/>
      <c r="H104" s="124"/>
      <c r="I104" s="113"/>
      <c r="J104" s="124"/>
      <c r="K104" s="124"/>
      <c r="L104" s="124"/>
      <c r="M104" s="113"/>
      <c r="N104" s="113"/>
      <c r="O104" s="113"/>
      <c r="P104" s="113"/>
      <c r="Q104" s="113"/>
      <c r="R104" s="113"/>
      <c r="S104" s="113"/>
      <c r="T104" s="113"/>
      <c r="U104" s="113"/>
      <c r="V104" s="113"/>
      <c r="W104" s="113"/>
      <c r="X104" s="113"/>
      <c r="Y104" s="113"/>
      <c r="Z104" s="113"/>
      <c r="AA104" s="113"/>
      <c r="AB104" s="113"/>
      <c r="AC104" s="125"/>
      <c r="AD104" s="116"/>
      <c r="AE104" s="116"/>
      <c r="AF104" s="116"/>
      <c r="AG104" s="116"/>
      <c r="AH104" s="114"/>
      <c r="AI104" s="116"/>
      <c r="AJ104" s="116"/>
      <c r="AK104" s="114"/>
      <c r="AL104" s="114"/>
      <c r="AM104" s="114"/>
      <c r="AN104" s="114"/>
      <c r="AO104" s="114"/>
      <c r="AP104" s="114"/>
      <c r="AQ104" s="114"/>
      <c r="AR104" s="114"/>
      <c r="AS104" s="114"/>
      <c r="AT104" s="114"/>
      <c r="AU104" s="113"/>
      <c r="AV104" s="116"/>
      <c r="AW104" s="116"/>
      <c r="AX104" s="116"/>
      <c r="AY104" s="116"/>
      <c r="AZ104" s="116"/>
      <c r="BA104" s="116"/>
      <c r="BB104" s="113"/>
      <c r="BC104" s="113"/>
      <c r="BD104" s="113"/>
      <c r="BE104" s="113"/>
      <c r="BF104" s="116"/>
      <c r="BG104" s="116"/>
      <c r="BH104" s="116"/>
      <c r="BI104" s="116"/>
      <c r="BJ104" s="116"/>
      <c r="BK104" s="116"/>
      <c r="BL104" s="116"/>
      <c r="BM104" s="116"/>
      <c r="BN104" s="116"/>
      <c r="BO104" s="117"/>
      <c r="BP104" s="117"/>
      <c r="BQ104" s="113"/>
      <c r="BR104" s="116"/>
      <c r="BS104" s="113"/>
      <c r="BT104" s="116"/>
      <c r="BU104" s="113"/>
      <c r="BV104" s="113"/>
      <c r="BW104" s="113"/>
      <c r="BX104" s="116"/>
      <c r="BY104" s="113"/>
      <c r="BZ104" s="113"/>
      <c r="CA104" s="113"/>
      <c r="CB104" s="113"/>
      <c r="CC104" s="113"/>
      <c r="CD104" s="113"/>
      <c r="CE104" s="117"/>
      <c r="CF104" s="118"/>
      <c r="CG104" s="117"/>
      <c r="CH104" s="117"/>
      <c r="CI104" s="118"/>
      <c r="CJ104" s="118"/>
      <c r="CK104" s="119"/>
      <c r="CL104" s="117"/>
      <c r="CM104" s="117"/>
      <c r="CN104" s="117"/>
      <c r="CO104" s="117"/>
      <c r="CP104" s="118"/>
      <c r="CQ104" s="132"/>
      <c r="CR104" s="132"/>
      <c r="CS104" s="132"/>
      <c r="CT104" s="129"/>
      <c r="CU104" s="129"/>
      <c r="CV104" s="129"/>
      <c r="CW104" s="112"/>
      <c r="CX104" s="112"/>
      <c r="CY104" s="112"/>
      <c r="CZ104" s="112"/>
      <c r="DA104" s="112"/>
      <c r="DB104" s="112"/>
      <c r="DC104" s="112"/>
      <c r="DD104" s="112"/>
      <c r="DE104" s="112"/>
      <c r="DF104" s="112"/>
      <c r="DG104" s="112"/>
      <c r="DH104" s="112"/>
      <c r="DI104" s="112"/>
      <c r="DJ104" s="112"/>
      <c r="DK104" s="112"/>
      <c r="DL104" s="112">
        <f t="shared" si="8"/>
        <v>0</v>
      </c>
    </row>
    <row r="105" spans="1:116" s="253" customFormat="1" x14ac:dyDescent="0.2">
      <c r="A105" s="254"/>
      <c r="B105" s="255" t="s">
        <v>1224</v>
      </c>
      <c r="C105" s="256"/>
      <c r="D105" s="274"/>
      <c r="E105" s="260"/>
      <c r="F105" s="260"/>
      <c r="G105" s="260"/>
      <c r="H105" s="260"/>
      <c r="I105" s="256"/>
      <c r="J105" s="260"/>
      <c r="K105" s="260"/>
      <c r="L105" s="260"/>
      <c r="M105" s="256"/>
      <c r="N105" s="256"/>
      <c r="O105" s="256"/>
      <c r="P105" s="256"/>
      <c r="Q105" s="256"/>
      <c r="R105" s="256"/>
      <c r="S105" s="256"/>
      <c r="T105" s="256"/>
      <c r="U105" s="256"/>
      <c r="V105" s="256"/>
      <c r="W105" s="256"/>
      <c r="X105" s="256"/>
      <c r="Y105" s="256"/>
      <c r="Z105" s="256"/>
      <c r="AA105" s="256"/>
      <c r="AB105" s="256"/>
      <c r="AC105" s="261"/>
      <c r="AD105" s="262"/>
      <c r="AE105" s="262"/>
      <c r="AF105" s="262"/>
      <c r="AG105" s="262"/>
      <c r="AH105" s="263"/>
      <c r="AI105" s="262"/>
      <c r="AJ105" s="262"/>
      <c r="AK105" s="263"/>
      <c r="AL105" s="263"/>
      <c r="AM105" s="263"/>
      <c r="AN105" s="263"/>
      <c r="AO105" s="263"/>
      <c r="AP105" s="263"/>
      <c r="AQ105" s="263"/>
      <c r="AR105" s="263"/>
      <c r="AS105" s="263"/>
      <c r="AT105" s="263"/>
      <c r="AU105" s="256"/>
      <c r="AV105" s="262"/>
      <c r="AW105" s="262"/>
      <c r="AX105" s="262"/>
      <c r="AY105" s="262"/>
      <c r="AZ105" s="262"/>
      <c r="BA105" s="262"/>
      <c r="BB105" s="256"/>
      <c r="BC105" s="256"/>
      <c r="BD105" s="256"/>
      <c r="BE105" s="256"/>
      <c r="BF105" s="262"/>
      <c r="BG105" s="262"/>
      <c r="BH105" s="262"/>
      <c r="BI105" s="262"/>
      <c r="BJ105" s="262"/>
      <c r="BK105" s="262"/>
      <c r="BL105" s="262"/>
      <c r="BM105" s="262"/>
      <c r="BN105" s="262"/>
      <c r="BO105" s="265"/>
      <c r="BP105" s="265"/>
      <c r="BQ105" s="256"/>
      <c r="BR105" s="262"/>
      <c r="BS105" s="256"/>
      <c r="BT105" s="262"/>
      <c r="BU105" s="256"/>
      <c r="BV105" s="256"/>
      <c r="BW105" s="256"/>
      <c r="BX105" s="262"/>
      <c r="BY105" s="256"/>
      <c r="BZ105" s="256"/>
      <c r="CA105" s="256"/>
      <c r="CB105" s="256"/>
      <c r="CC105" s="256"/>
      <c r="CD105" s="256"/>
      <c r="CE105" s="265"/>
      <c r="CF105" s="266"/>
      <c r="CG105" s="265"/>
      <c r="CH105" s="265"/>
      <c r="CI105" s="266"/>
      <c r="CJ105" s="266"/>
      <c r="CK105" s="267"/>
      <c r="CL105" s="265"/>
      <c r="CM105" s="265"/>
      <c r="CN105" s="265"/>
      <c r="CO105" s="265"/>
      <c r="CP105" s="266"/>
      <c r="CQ105" s="275"/>
      <c r="CR105" s="275"/>
      <c r="CS105" s="275"/>
      <c r="CT105" s="268"/>
      <c r="CU105" s="268"/>
      <c r="CV105" s="268"/>
      <c r="CW105" s="255"/>
      <c r="CX105" s="255"/>
      <c r="CY105" s="255"/>
      <c r="CZ105" s="255"/>
      <c r="DA105" s="255"/>
      <c r="DB105" s="255"/>
      <c r="DC105" s="255"/>
      <c r="DD105" s="255"/>
      <c r="DE105" s="255"/>
      <c r="DF105" s="255"/>
      <c r="DG105" s="255"/>
      <c r="DH105" s="255"/>
      <c r="DI105" s="255"/>
      <c r="DJ105" s="255"/>
      <c r="DK105" s="255"/>
      <c r="DL105" s="255">
        <f t="shared" si="8"/>
        <v>0</v>
      </c>
    </row>
    <row r="106" spans="1:116" x14ac:dyDescent="0.2">
      <c r="A106" s="111"/>
      <c r="B106" s="112" t="s">
        <v>1225</v>
      </c>
      <c r="C106" s="113"/>
      <c r="D106" s="131"/>
      <c r="E106" s="124"/>
      <c r="F106" s="124"/>
      <c r="G106" s="124"/>
      <c r="H106" s="124"/>
      <c r="I106" s="113"/>
      <c r="J106" s="124"/>
      <c r="K106" s="124"/>
      <c r="L106" s="124"/>
      <c r="M106" s="113"/>
      <c r="N106" s="113"/>
      <c r="O106" s="113"/>
      <c r="P106" s="113"/>
      <c r="Q106" s="113"/>
      <c r="R106" s="113"/>
      <c r="S106" s="113"/>
      <c r="T106" s="113"/>
      <c r="U106" s="113"/>
      <c r="V106" s="113"/>
      <c r="W106" s="113"/>
      <c r="X106" s="113"/>
      <c r="Y106" s="113"/>
      <c r="Z106" s="113"/>
      <c r="AA106" s="113"/>
      <c r="AB106" s="113"/>
      <c r="AC106" s="125"/>
      <c r="AD106" s="116"/>
      <c r="AE106" s="116"/>
      <c r="AF106" s="116"/>
      <c r="AG106" s="116"/>
      <c r="AH106" s="114"/>
      <c r="AI106" s="116"/>
      <c r="AJ106" s="116"/>
      <c r="AK106" s="114"/>
      <c r="AL106" s="114"/>
      <c r="AM106" s="114"/>
      <c r="AN106" s="114"/>
      <c r="AO106" s="114"/>
      <c r="AP106" s="114"/>
      <c r="AQ106" s="114"/>
      <c r="AR106" s="114"/>
      <c r="AS106" s="114"/>
      <c r="AT106" s="114"/>
      <c r="AU106" s="113"/>
      <c r="AV106" s="116"/>
      <c r="AW106" s="116"/>
      <c r="AX106" s="116"/>
      <c r="AY106" s="116"/>
      <c r="AZ106" s="116"/>
      <c r="BA106" s="116"/>
      <c r="BB106" s="113"/>
      <c r="BC106" s="113"/>
      <c r="BD106" s="113"/>
      <c r="BE106" s="113"/>
      <c r="BF106" s="116"/>
      <c r="BG106" s="116"/>
      <c r="BH106" s="116"/>
      <c r="BI106" s="116"/>
      <c r="BJ106" s="116"/>
      <c r="BK106" s="116"/>
      <c r="BL106" s="116"/>
      <c r="BM106" s="116"/>
      <c r="BN106" s="116"/>
      <c r="BO106" s="117"/>
      <c r="BP106" s="117"/>
      <c r="BQ106" s="113"/>
      <c r="BR106" s="116"/>
      <c r="BS106" s="113"/>
      <c r="BT106" s="116"/>
      <c r="BU106" s="113"/>
      <c r="BV106" s="113"/>
      <c r="BW106" s="113"/>
      <c r="BX106" s="116"/>
      <c r="BY106" s="113"/>
      <c r="BZ106" s="113"/>
      <c r="CA106" s="113"/>
      <c r="CB106" s="113"/>
      <c r="CC106" s="113"/>
      <c r="CD106" s="113"/>
      <c r="CE106" s="117"/>
      <c r="CF106" s="118"/>
      <c r="CG106" s="117"/>
      <c r="CH106" s="117"/>
      <c r="CI106" s="118"/>
      <c r="CJ106" s="118"/>
      <c r="CK106" s="119"/>
      <c r="CL106" s="117"/>
      <c r="CM106" s="117"/>
      <c r="CN106" s="117"/>
      <c r="CO106" s="117"/>
      <c r="CP106" s="118"/>
      <c r="CQ106" s="132"/>
      <c r="CR106" s="132"/>
      <c r="CS106" s="132"/>
      <c r="CT106" s="129"/>
      <c r="CU106" s="129"/>
      <c r="CV106" s="129"/>
      <c r="CW106" s="112"/>
      <c r="CX106" s="112"/>
      <c r="CY106" s="112"/>
      <c r="CZ106" s="112"/>
      <c r="DA106" s="112"/>
      <c r="DB106" s="112"/>
      <c r="DC106" s="112"/>
      <c r="DD106" s="112"/>
      <c r="DE106" s="112"/>
      <c r="DF106" s="112"/>
      <c r="DG106" s="112"/>
      <c r="DH106" s="112"/>
      <c r="DI106" s="112"/>
      <c r="DJ106" s="112"/>
      <c r="DK106" s="112"/>
      <c r="DL106" s="112">
        <f t="shared" si="8"/>
        <v>0</v>
      </c>
    </row>
    <row r="107" spans="1:116" s="253" customFormat="1" x14ac:dyDescent="0.2">
      <c r="A107" s="254"/>
      <c r="B107" s="255" t="s">
        <v>1226</v>
      </c>
      <c r="C107" s="256"/>
      <c r="D107" s="274"/>
      <c r="E107" s="260"/>
      <c r="F107" s="260"/>
      <c r="G107" s="260"/>
      <c r="H107" s="260"/>
      <c r="I107" s="256"/>
      <c r="J107" s="260"/>
      <c r="K107" s="260"/>
      <c r="L107" s="260"/>
      <c r="M107" s="256"/>
      <c r="N107" s="256"/>
      <c r="O107" s="256"/>
      <c r="P107" s="256"/>
      <c r="Q107" s="256"/>
      <c r="R107" s="256"/>
      <c r="S107" s="256"/>
      <c r="T107" s="256"/>
      <c r="U107" s="256"/>
      <c r="V107" s="256"/>
      <c r="W107" s="256"/>
      <c r="X107" s="256"/>
      <c r="Y107" s="256"/>
      <c r="Z107" s="256"/>
      <c r="AA107" s="256"/>
      <c r="AB107" s="256"/>
      <c r="AC107" s="261"/>
      <c r="AD107" s="262"/>
      <c r="AE107" s="262"/>
      <c r="AF107" s="262"/>
      <c r="AG107" s="262"/>
      <c r="AH107" s="263"/>
      <c r="AI107" s="262"/>
      <c r="AJ107" s="262"/>
      <c r="AK107" s="263"/>
      <c r="AL107" s="263"/>
      <c r="AM107" s="263"/>
      <c r="AN107" s="263"/>
      <c r="AO107" s="263"/>
      <c r="AP107" s="263"/>
      <c r="AQ107" s="263"/>
      <c r="AR107" s="263"/>
      <c r="AS107" s="263"/>
      <c r="AT107" s="263"/>
      <c r="AU107" s="256"/>
      <c r="AV107" s="262"/>
      <c r="AW107" s="262"/>
      <c r="AX107" s="262"/>
      <c r="AY107" s="262"/>
      <c r="AZ107" s="262"/>
      <c r="BA107" s="262"/>
      <c r="BB107" s="256"/>
      <c r="BC107" s="256"/>
      <c r="BD107" s="256"/>
      <c r="BE107" s="256"/>
      <c r="BF107" s="262"/>
      <c r="BG107" s="262"/>
      <c r="BH107" s="262"/>
      <c r="BI107" s="262"/>
      <c r="BJ107" s="262"/>
      <c r="BK107" s="262"/>
      <c r="BL107" s="262"/>
      <c r="BM107" s="262"/>
      <c r="BN107" s="262"/>
      <c r="BO107" s="265"/>
      <c r="BP107" s="265"/>
      <c r="BQ107" s="256"/>
      <c r="BR107" s="262"/>
      <c r="BS107" s="256"/>
      <c r="BT107" s="262"/>
      <c r="BU107" s="256"/>
      <c r="BV107" s="256"/>
      <c r="BW107" s="256"/>
      <c r="BX107" s="262"/>
      <c r="BY107" s="256"/>
      <c r="BZ107" s="256"/>
      <c r="CA107" s="256"/>
      <c r="CB107" s="256"/>
      <c r="CC107" s="256"/>
      <c r="CD107" s="256"/>
      <c r="CE107" s="265"/>
      <c r="CF107" s="266"/>
      <c r="CG107" s="265"/>
      <c r="CH107" s="265"/>
      <c r="CI107" s="266"/>
      <c r="CJ107" s="266"/>
      <c r="CK107" s="267"/>
      <c r="CL107" s="265"/>
      <c r="CM107" s="265"/>
      <c r="CN107" s="265"/>
      <c r="CO107" s="265"/>
      <c r="CP107" s="266"/>
      <c r="CQ107" s="275"/>
      <c r="CR107" s="275"/>
      <c r="CS107" s="275"/>
      <c r="CT107" s="268"/>
      <c r="CU107" s="268"/>
      <c r="CV107" s="268"/>
      <c r="CW107" s="255"/>
      <c r="CX107" s="255"/>
      <c r="CY107" s="255"/>
      <c r="CZ107" s="255"/>
      <c r="DA107" s="255"/>
      <c r="DB107" s="255"/>
      <c r="DC107" s="255"/>
      <c r="DD107" s="255"/>
      <c r="DE107" s="255"/>
      <c r="DF107" s="255"/>
      <c r="DG107" s="255"/>
      <c r="DH107" s="255"/>
      <c r="DI107" s="255"/>
      <c r="DJ107" s="255"/>
      <c r="DK107" s="255"/>
      <c r="DL107" s="255">
        <f t="shared" si="8"/>
        <v>0</v>
      </c>
    </row>
    <row r="108" spans="1:116" x14ac:dyDescent="0.2">
      <c r="A108" s="111"/>
      <c r="B108" s="112" t="s">
        <v>1227</v>
      </c>
      <c r="C108" s="113"/>
      <c r="D108" s="131"/>
      <c r="E108" s="124"/>
      <c r="F108" s="124"/>
      <c r="G108" s="124"/>
      <c r="H108" s="124"/>
      <c r="I108" s="113"/>
      <c r="J108" s="124"/>
      <c r="K108" s="124"/>
      <c r="L108" s="124"/>
      <c r="M108" s="113"/>
      <c r="N108" s="113"/>
      <c r="O108" s="113"/>
      <c r="P108" s="113"/>
      <c r="Q108" s="113"/>
      <c r="R108" s="113"/>
      <c r="S108" s="113"/>
      <c r="T108" s="113"/>
      <c r="U108" s="113"/>
      <c r="V108" s="113"/>
      <c r="W108" s="113"/>
      <c r="X108" s="113"/>
      <c r="Y108" s="113"/>
      <c r="Z108" s="113"/>
      <c r="AA108" s="113"/>
      <c r="AB108" s="113"/>
      <c r="AC108" s="125"/>
      <c r="AD108" s="116"/>
      <c r="AE108" s="116"/>
      <c r="AF108" s="116"/>
      <c r="AG108" s="116"/>
      <c r="AH108" s="114"/>
      <c r="AI108" s="116"/>
      <c r="AJ108" s="116"/>
      <c r="AK108" s="114"/>
      <c r="AL108" s="114"/>
      <c r="AM108" s="114"/>
      <c r="AN108" s="114"/>
      <c r="AO108" s="114"/>
      <c r="AP108" s="114"/>
      <c r="AQ108" s="114"/>
      <c r="AR108" s="114"/>
      <c r="AS108" s="114"/>
      <c r="AT108" s="114"/>
      <c r="AU108" s="113"/>
      <c r="AV108" s="116"/>
      <c r="AW108" s="116"/>
      <c r="AX108" s="116"/>
      <c r="AY108" s="116"/>
      <c r="AZ108" s="116"/>
      <c r="BA108" s="116"/>
      <c r="BB108" s="113"/>
      <c r="BC108" s="113"/>
      <c r="BD108" s="113"/>
      <c r="BE108" s="113"/>
      <c r="BF108" s="116"/>
      <c r="BG108" s="116"/>
      <c r="BH108" s="116"/>
      <c r="BI108" s="116"/>
      <c r="BJ108" s="116"/>
      <c r="BK108" s="116"/>
      <c r="BL108" s="116"/>
      <c r="BM108" s="116"/>
      <c r="BN108" s="116"/>
      <c r="BO108" s="117"/>
      <c r="BP108" s="117"/>
      <c r="BQ108" s="113"/>
      <c r="BR108" s="116"/>
      <c r="BS108" s="113"/>
      <c r="BT108" s="116"/>
      <c r="BU108" s="113"/>
      <c r="BV108" s="113"/>
      <c r="BW108" s="113"/>
      <c r="BX108" s="116"/>
      <c r="BY108" s="113"/>
      <c r="BZ108" s="113"/>
      <c r="CA108" s="113"/>
      <c r="CB108" s="113"/>
      <c r="CC108" s="113"/>
      <c r="CD108" s="113"/>
      <c r="CE108" s="117"/>
      <c r="CF108" s="118"/>
      <c r="CG108" s="117"/>
      <c r="CH108" s="117"/>
      <c r="CI108" s="118"/>
      <c r="CJ108" s="118"/>
      <c r="CK108" s="119"/>
      <c r="CL108" s="117"/>
      <c r="CM108" s="117"/>
      <c r="CN108" s="117"/>
      <c r="CO108" s="117"/>
      <c r="CP108" s="118"/>
      <c r="CQ108" s="132"/>
      <c r="CR108" s="132"/>
      <c r="CS108" s="132"/>
      <c r="CT108" s="129"/>
      <c r="CU108" s="129"/>
      <c r="CV108" s="129"/>
      <c r="CW108" s="112"/>
      <c r="CX108" s="112"/>
      <c r="CY108" s="112"/>
      <c r="CZ108" s="112"/>
      <c r="DA108" s="112"/>
      <c r="DB108" s="112"/>
      <c r="DC108" s="112"/>
      <c r="DD108" s="112"/>
      <c r="DE108" s="112"/>
      <c r="DF108" s="112"/>
      <c r="DG108" s="112"/>
      <c r="DH108" s="112"/>
      <c r="DI108" s="112"/>
      <c r="DJ108" s="112"/>
      <c r="DK108" s="112"/>
      <c r="DL108" s="112">
        <f t="shared" si="8"/>
        <v>0</v>
      </c>
    </row>
    <row r="109" spans="1:116" s="253" customFormat="1" x14ac:dyDescent="0.2">
      <c r="A109" s="254"/>
      <c r="B109" s="255" t="s">
        <v>1228</v>
      </c>
      <c r="C109" s="256"/>
      <c r="D109" s="274"/>
      <c r="E109" s="260"/>
      <c r="F109" s="260"/>
      <c r="G109" s="260"/>
      <c r="H109" s="260"/>
      <c r="I109" s="256"/>
      <c r="J109" s="260"/>
      <c r="K109" s="260"/>
      <c r="L109" s="260"/>
      <c r="M109" s="256"/>
      <c r="N109" s="256"/>
      <c r="O109" s="256"/>
      <c r="P109" s="256"/>
      <c r="Q109" s="256"/>
      <c r="R109" s="256"/>
      <c r="S109" s="256"/>
      <c r="T109" s="256"/>
      <c r="U109" s="256"/>
      <c r="V109" s="256"/>
      <c r="W109" s="256"/>
      <c r="X109" s="256"/>
      <c r="Y109" s="256"/>
      <c r="Z109" s="256"/>
      <c r="AA109" s="256"/>
      <c r="AB109" s="256"/>
      <c r="AC109" s="261"/>
      <c r="AD109" s="262"/>
      <c r="AE109" s="262"/>
      <c r="AF109" s="262"/>
      <c r="AG109" s="262"/>
      <c r="AH109" s="263"/>
      <c r="AI109" s="262"/>
      <c r="AJ109" s="262"/>
      <c r="AK109" s="263"/>
      <c r="AL109" s="263"/>
      <c r="AM109" s="263"/>
      <c r="AN109" s="263"/>
      <c r="AO109" s="263"/>
      <c r="AP109" s="263"/>
      <c r="AQ109" s="263"/>
      <c r="AR109" s="263"/>
      <c r="AS109" s="263"/>
      <c r="AT109" s="263"/>
      <c r="AU109" s="256"/>
      <c r="AV109" s="262"/>
      <c r="AW109" s="262"/>
      <c r="AX109" s="262"/>
      <c r="AY109" s="262"/>
      <c r="AZ109" s="262"/>
      <c r="BA109" s="262"/>
      <c r="BB109" s="256"/>
      <c r="BC109" s="256"/>
      <c r="BD109" s="256"/>
      <c r="BE109" s="256"/>
      <c r="BF109" s="262"/>
      <c r="BG109" s="262"/>
      <c r="BH109" s="262"/>
      <c r="BI109" s="262"/>
      <c r="BJ109" s="262"/>
      <c r="BK109" s="262"/>
      <c r="BL109" s="262"/>
      <c r="BM109" s="262"/>
      <c r="BN109" s="262"/>
      <c r="BO109" s="265"/>
      <c r="BP109" s="265"/>
      <c r="BQ109" s="256"/>
      <c r="BR109" s="262"/>
      <c r="BS109" s="256"/>
      <c r="BT109" s="262"/>
      <c r="BU109" s="256"/>
      <c r="BV109" s="256"/>
      <c r="BW109" s="256"/>
      <c r="BX109" s="262"/>
      <c r="BY109" s="256"/>
      <c r="BZ109" s="256"/>
      <c r="CA109" s="256"/>
      <c r="CB109" s="256"/>
      <c r="CC109" s="256"/>
      <c r="CD109" s="256"/>
      <c r="CE109" s="265"/>
      <c r="CF109" s="266"/>
      <c r="CG109" s="265"/>
      <c r="CH109" s="265"/>
      <c r="CI109" s="266"/>
      <c r="CJ109" s="266"/>
      <c r="CK109" s="267"/>
      <c r="CL109" s="265"/>
      <c r="CM109" s="265"/>
      <c r="CN109" s="265"/>
      <c r="CO109" s="265"/>
      <c r="CP109" s="266"/>
      <c r="CQ109" s="275"/>
      <c r="CR109" s="275"/>
      <c r="CS109" s="275"/>
      <c r="CT109" s="268"/>
      <c r="CU109" s="268"/>
      <c r="CV109" s="268"/>
      <c r="CW109" s="255"/>
      <c r="CX109" s="255"/>
      <c r="CY109" s="255"/>
      <c r="CZ109" s="255"/>
      <c r="DA109" s="255"/>
      <c r="DB109" s="255"/>
      <c r="DC109" s="255"/>
      <c r="DD109" s="255"/>
      <c r="DE109" s="255"/>
      <c r="DF109" s="255"/>
      <c r="DG109" s="255"/>
      <c r="DH109" s="255"/>
      <c r="DI109" s="255"/>
      <c r="DJ109" s="255"/>
      <c r="DK109" s="255"/>
      <c r="DL109" s="255">
        <f t="shared" si="8"/>
        <v>0</v>
      </c>
    </row>
    <row r="110" spans="1:116" ht="13.5" thickBot="1" x14ac:dyDescent="0.25">
      <c r="A110" s="196"/>
      <c r="B110" s="197" t="s">
        <v>1229</v>
      </c>
      <c r="C110" s="198"/>
      <c r="D110" s="215"/>
      <c r="E110" s="202"/>
      <c r="F110" s="202"/>
      <c r="G110" s="202"/>
      <c r="H110" s="202"/>
      <c r="I110" s="198"/>
      <c r="J110" s="202"/>
      <c r="K110" s="202"/>
      <c r="L110" s="202"/>
      <c r="M110" s="198"/>
      <c r="N110" s="198"/>
      <c r="O110" s="198"/>
      <c r="P110" s="198"/>
      <c r="Q110" s="198"/>
      <c r="R110" s="198"/>
      <c r="S110" s="198"/>
      <c r="T110" s="198"/>
      <c r="U110" s="198"/>
      <c r="V110" s="198"/>
      <c r="W110" s="198"/>
      <c r="X110" s="198"/>
      <c r="Y110" s="198"/>
      <c r="Z110" s="198"/>
      <c r="AA110" s="198"/>
      <c r="AB110" s="198"/>
      <c r="AC110" s="203"/>
      <c r="AD110" s="204"/>
      <c r="AE110" s="204"/>
      <c r="AF110" s="204"/>
      <c r="AG110" s="204"/>
      <c r="AH110" s="205"/>
      <c r="AI110" s="204"/>
      <c r="AJ110" s="204"/>
      <c r="AK110" s="205"/>
      <c r="AL110" s="205"/>
      <c r="AM110" s="205"/>
      <c r="AN110" s="205"/>
      <c r="AO110" s="205"/>
      <c r="AP110" s="205"/>
      <c r="AQ110" s="205"/>
      <c r="AR110" s="205"/>
      <c r="AS110" s="205"/>
      <c r="AT110" s="205"/>
      <c r="AU110" s="198"/>
      <c r="AV110" s="204"/>
      <c r="AW110" s="204"/>
      <c r="AX110" s="204"/>
      <c r="AY110" s="204"/>
      <c r="AZ110" s="204"/>
      <c r="BA110" s="204"/>
      <c r="BB110" s="198"/>
      <c r="BC110" s="198"/>
      <c r="BD110" s="198"/>
      <c r="BE110" s="198"/>
      <c r="BF110" s="204"/>
      <c r="BG110" s="204"/>
      <c r="BH110" s="204"/>
      <c r="BI110" s="204"/>
      <c r="BJ110" s="204"/>
      <c r="BK110" s="204"/>
      <c r="BL110" s="204"/>
      <c r="BM110" s="204"/>
      <c r="BN110" s="204"/>
      <c r="BO110" s="208"/>
      <c r="BP110" s="208"/>
      <c r="BQ110" s="198"/>
      <c r="BR110" s="204"/>
      <c r="BS110" s="198"/>
      <c r="BT110" s="204"/>
      <c r="BU110" s="198"/>
      <c r="BV110" s="198"/>
      <c r="BW110" s="198"/>
      <c r="BX110" s="204"/>
      <c r="BY110" s="198"/>
      <c r="BZ110" s="198"/>
      <c r="CA110" s="198"/>
      <c r="CB110" s="198"/>
      <c r="CC110" s="198"/>
      <c r="CD110" s="198"/>
      <c r="CE110" s="208"/>
      <c r="CF110" s="210"/>
      <c r="CG110" s="208"/>
      <c r="CH110" s="208"/>
      <c r="CI110" s="210"/>
      <c r="CJ110" s="210"/>
      <c r="CK110" s="211"/>
      <c r="CL110" s="208"/>
      <c r="CM110" s="208"/>
      <c r="CN110" s="208"/>
      <c r="CO110" s="208"/>
      <c r="CP110" s="210"/>
      <c r="CQ110" s="219"/>
      <c r="CR110" s="219"/>
      <c r="CS110" s="219"/>
      <c r="CT110" s="218"/>
      <c r="CU110" s="218"/>
      <c r="CV110" s="218"/>
      <c r="CW110" s="197"/>
      <c r="CX110" s="197"/>
      <c r="CY110" s="197"/>
      <c r="CZ110" s="197"/>
      <c r="DA110" s="197"/>
      <c r="DB110" s="197"/>
      <c r="DC110" s="197"/>
      <c r="DD110" s="197"/>
      <c r="DE110" s="197"/>
      <c r="DF110" s="197"/>
      <c r="DG110" s="197"/>
      <c r="DH110" s="197"/>
      <c r="DI110" s="197"/>
      <c r="DJ110" s="197"/>
      <c r="DK110" s="197"/>
      <c r="DL110" s="197">
        <f t="shared" si="8"/>
        <v>0</v>
      </c>
    </row>
    <row r="111" spans="1:116" s="195" customFormat="1" ht="14.25" thickTop="1" thickBot="1" x14ac:dyDescent="0.25">
      <c r="A111" s="177"/>
      <c r="B111" s="178"/>
      <c r="C111" s="179"/>
      <c r="D111" s="180" t="s">
        <v>2079</v>
      </c>
      <c r="E111" s="213"/>
      <c r="F111" s="213"/>
      <c r="G111" s="213"/>
      <c r="H111" s="213"/>
      <c r="I111" s="179"/>
      <c r="J111" s="213"/>
      <c r="K111" s="213"/>
      <c r="L111" s="213"/>
      <c r="M111" s="179"/>
      <c r="N111" s="179"/>
      <c r="O111" s="179"/>
      <c r="P111" s="179"/>
      <c r="Q111" s="179"/>
      <c r="R111" s="179"/>
      <c r="S111" s="179"/>
      <c r="T111" s="179"/>
      <c r="U111" s="179"/>
      <c r="V111" s="179"/>
      <c r="W111" s="179"/>
      <c r="X111" s="179"/>
      <c r="Y111" s="179"/>
      <c r="Z111" s="179"/>
      <c r="AA111" s="179"/>
      <c r="AB111" s="179"/>
      <c r="AC111" s="220"/>
      <c r="AD111" s="189"/>
      <c r="AE111" s="189"/>
      <c r="AF111" s="189"/>
      <c r="AG111" s="189"/>
      <c r="AH111" s="187"/>
      <c r="AI111" s="189"/>
      <c r="AJ111" s="189"/>
      <c r="AK111" s="187"/>
      <c r="AL111" s="187"/>
      <c r="AM111" s="187"/>
      <c r="AN111" s="187"/>
      <c r="AO111" s="187"/>
      <c r="AP111" s="187"/>
      <c r="AQ111" s="187"/>
      <c r="AR111" s="187"/>
      <c r="AS111" s="187"/>
      <c r="AT111" s="187"/>
      <c r="AU111" s="179"/>
      <c r="AV111" s="189"/>
      <c r="AW111" s="189"/>
      <c r="AX111" s="189"/>
      <c r="AY111" s="189"/>
      <c r="AZ111" s="189"/>
      <c r="BA111" s="189"/>
      <c r="BB111" s="179"/>
      <c r="BC111" s="179"/>
      <c r="BD111" s="179"/>
      <c r="BE111" s="179"/>
      <c r="BF111" s="189"/>
      <c r="BG111" s="189"/>
      <c r="BH111" s="189"/>
      <c r="BI111" s="189"/>
      <c r="BJ111" s="189"/>
      <c r="BK111" s="189"/>
      <c r="BL111" s="189"/>
      <c r="BM111" s="189"/>
      <c r="BN111" s="189"/>
      <c r="BO111" s="190"/>
      <c r="BP111" s="190"/>
      <c r="BQ111" s="179"/>
      <c r="BR111" s="189"/>
      <c r="BS111" s="179"/>
      <c r="BT111" s="189"/>
      <c r="BU111" s="179"/>
      <c r="BV111" s="179"/>
      <c r="BW111" s="179"/>
      <c r="BX111" s="189"/>
      <c r="BY111" s="179"/>
      <c r="BZ111" s="179"/>
      <c r="CA111" s="179"/>
      <c r="CB111" s="179"/>
      <c r="CC111" s="179"/>
      <c r="CD111" s="179"/>
      <c r="CE111" s="190"/>
      <c r="CF111" s="193"/>
      <c r="CG111" s="190"/>
      <c r="CH111" s="190"/>
      <c r="CI111" s="193"/>
      <c r="CJ111" s="193"/>
      <c r="CK111" s="194"/>
      <c r="CL111" s="190"/>
      <c r="CM111" s="190"/>
      <c r="CN111" s="190"/>
      <c r="CO111" s="190"/>
      <c r="CP111" s="193"/>
      <c r="CQ111" s="221"/>
      <c r="CR111" s="221"/>
      <c r="CS111" s="221"/>
      <c r="CT111" s="222"/>
      <c r="CU111" s="222"/>
      <c r="CV111" s="222"/>
      <c r="CW111" s="178"/>
      <c r="CX111" s="178"/>
      <c r="CY111" s="178"/>
      <c r="CZ111" s="178"/>
      <c r="DA111" s="178"/>
      <c r="DB111" s="178"/>
      <c r="DC111" s="178"/>
      <c r="DD111" s="178"/>
      <c r="DE111" s="178"/>
      <c r="DF111" s="178"/>
      <c r="DG111" s="178"/>
      <c r="DH111" s="178"/>
      <c r="DI111" s="178"/>
      <c r="DJ111" s="178"/>
      <c r="DK111" s="178"/>
      <c r="DL111" s="178">
        <f t="shared" si="8"/>
        <v>0</v>
      </c>
    </row>
    <row r="112" spans="1:116" s="253" customFormat="1" ht="26.25" thickTop="1" x14ac:dyDescent="0.2">
      <c r="A112" s="237"/>
      <c r="B112" s="238" t="s">
        <v>2080</v>
      </c>
      <c r="C112" s="239"/>
      <c r="D112" s="272" t="s">
        <v>2081</v>
      </c>
      <c r="E112" s="244" t="s">
        <v>2093</v>
      </c>
      <c r="F112" s="244" t="s">
        <v>2094</v>
      </c>
      <c r="G112" s="244" t="s">
        <v>2258</v>
      </c>
      <c r="H112" s="244" t="s">
        <v>2607</v>
      </c>
      <c r="I112" s="239" t="s">
        <v>2259</v>
      </c>
      <c r="J112" s="244" t="s">
        <v>2083</v>
      </c>
      <c r="K112" s="244"/>
      <c r="L112" s="244"/>
      <c r="M112" s="239">
        <v>6</v>
      </c>
      <c r="N112" s="239">
        <v>4</v>
      </c>
      <c r="O112" s="239">
        <v>3</v>
      </c>
      <c r="P112" s="239">
        <v>3</v>
      </c>
      <c r="Q112" s="239">
        <v>4</v>
      </c>
      <c r="R112" s="239"/>
      <c r="S112" s="239"/>
      <c r="T112" s="239"/>
      <c r="U112" s="239"/>
      <c r="V112" s="239"/>
      <c r="W112" s="239"/>
      <c r="X112" s="239"/>
      <c r="Y112" s="239"/>
      <c r="Z112" s="239"/>
      <c r="AA112" s="239">
        <f>SUM(M112:Z112)</f>
        <v>20</v>
      </c>
      <c r="AB112" s="239">
        <v>52</v>
      </c>
      <c r="AC112" s="245">
        <f>AB112+10</f>
        <v>62</v>
      </c>
      <c r="AD112" s="246">
        <v>1</v>
      </c>
      <c r="AE112" s="246"/>
      <c r="AF112" s="246"/>
      <c r="AG112" s="246" t="s">
        <v>1984</v>
      </c>
      <c r="AH112" s="247"/>
      <c r="AI112" s="246"/>
      <c r="AJ112" s="246" t="s">
        <v>2084</v>
      </c>
      <c r="AK112" s="247"/>
      <c r="AL112" s="247"/>
      <c r="AM112" s="247"/>
      <c r="AN112" s="247">
        <v>0.1</v>
      </c>
      <c r="AO112" s="247">
        <v>0</v>
      </c>
      <c r="AP112" s="247">
        <v>0</v>
      </c>
      <c r="AQ112" s="247">
        <v>0</v>
      </c>
      <c r="AR112" s="247">
        <v>0</v>
      </c>
      <c r="AS112" s="247">
        <v>0</v>
      </c>
      <c r="AT112" s="247" t="s">
        <v>952</v>
      </c>
      <c r="AU112" s="239" t="s">
        <v>2221</v>
      </c>
      <c r="AV112" s="245">
        <v>0</v>
      </c>
      <c r="AW112" s="245">
        <v>0</v>
      </c>
      <c r="AX112" s="246" t="s">
        <v>2221</v>
      </c>
      <c r="AY112" s="246" t="s">
        <v>2221</v>
      </c>
      <c r="AZ112" s="246" t="s">
        <v>2221</v>
      </c>
      <c r="BA112" s="246" t="s">
        <v>2221</v>
      </c>
      <c r="BB112" s="239" t="s">
        <v>2422</v>
      </c>
      <c r="BC112" s="273">
        <v>45737</v>
      </c>
      <c r="BD112" s="239" t="s">
        <v>182</v>
      </c>
      <c r="BE112" s="239" t="s">
        <v>186</v>
      </c>
      <c r="BF112" s="246">
        <v>1</v>
      </c>
      <c r="BG112" s="246"/>
      <c r="BH112" s="246"/>
      <c r="BI112" s="246"/>
      <c r="BJ112" s="246"/>
      <c r="BK112" s="246"/>
      <c r="BL112" s="246"/>
      <c r="BM112" s="246">
        <v>1</v>
      </c>
      <c r="BN112" s="246" t="s">
        <v>169</v>
      </c>
      <c r="BO112" s="250" t="s">
        <v>2221</v>
      </c>
      <c r="BP112" s="250" t="s">
        <v>2221</v>
      </c>
      <c r="BQ112" s="239" t="s">
        <v>2221</v>
      </c>
      <c r="BR112" s="246" t="s">
        <v>2221</v>
      </c>
      <c r="BS112" s="239" t="s">
        <v>2221</v>
      </c>
      <c r="BT112" s="246" t="s">
        <v>2221</v>
      </c>
      <c r="BU112" s="239"/>
      <c r="BV112" s="239" t="s">
        <v>2222</v>
      </c>
      <c r="BW112" s="239" t="s">
        <v>2585</v>
      </c>
      <c r="BX112" s="246">
        <v>1</v>
      </c>
      <c r="BY112" s="239" t="s">
        <v>149</v>
      </c>
      <c r="BZ112" s="239" t="s">
        <v>2642</v>
      </c>
      <c r="CA112" s="239">
        <v>1</v>
      </c>
      <c r="CB112" s="239">
        <v>1</v>
      </c>
      <c r="CC112" s="239">
        <v>1</v>
      </c>
      <c r="CD112" s="239">
        <v>1</v>
      </c>
      <c r="CE112" s="250"/>
      <c r="CF112" s="251" t="s">
        <v>169</v>
      </c>
      <c r="CG112" s="250" t="s">
        <v>169</v>
      </c>
      <c r="CH112" s="250" t="s">
        <v>2643</v>
      </c>
      <c r="CI112" s="251">
        <v>1</v>
      </c>
      <c r="CJ112" s="251">
        <v>1</v>
      </c>
      <c r="CK112" s="252">
        <v>2025.0360000000001</v>
      </c>
      <c r="CL112" s="250" t="s">
        <v>316</v>
      </c>
      <c r="CM112" s="250">
        <v>1</v>
      </c>
      <c r="CN112" s="250" t="s">
        <v>289</v>
      </c>
      <c r="CO112" s="250">
        <v>1</v>
      </c>
      <c r="CP112" s="251" t="s">
        <v>290</v>
      </c>
      <c r="CQ112" s="303" t="s">
        <v>2223</v>
      </c>
      <c r="CR112" s="303"/>
      <c r="CS112" s="303"/>
      <c r="CT112" s="296" t="s">
        <v>2611</v>
      </c>
      <c r="CU112" s="296"/>
      <c r="CV112" s="296"/>
      <c r="CW112" s="238" t="s">
        <v>2260</v>
      </c>
      <c r="CX112" s="238" t="s">
        <v>2261</v>
      </c>
      <c r="CY112" s="238"/>
      <c r="CZ112" s="238"/>
      <c r="DA112" s="238"/>
      <c r="DB112" s="238"/>
      <c r="DC112" s="238"/>
      <c r="DD112" s="238"/>
      <c r="DE112" s="238"/>
      <c r="DF112" s="238"/>
      <c r="DG112" s="238"/>
      <c r="DH112" s="238"/>
      <c r="DI112" s="238" t="s">
        <v>2281</v>
      </c>
      <c r="DJ112" s="238"/>
      <c r="DK112" s="238"/>
      <c r="DL112" s="238">
        <f t="shared" si="8"/>
        <v>2</v>
      </c>
    </row>
    <row r="113" spans="1:116" x14ac:dyDescent="0.2">
      <c r="A113" s="111"/>
      <c r="B113" s="112" t="s">
        <v>2215</v>
      </c>
      <c r="C113" s="113"/>
      <c r="D113" s="131"/>
      <c r="E113" s="124"/>
      <c r="F113" s="124"/>
      <c r="G113" s="124"/>
      <c r="H113" s="124"/>
      <c r="I113" s="113"/>
      <c r="J113" s="124"/>
      <c r="K113" s="124"/>
      <c r="L113" s="124"/>
      <c r="M113" s="113"/>
      <c r="N113" s="113"/>
      <c r="O113" s="113"/>
      <c r="P113" s="113"/>
      <c r="Q113" s="113"/>
      <c r="R113" s="113"/>
      <c r="S113" s="113"/>
      <c r="T113" s="113"/>
      <c r="U113" s="113"/>
      <c r="V113" s="113"/>
      <c r="W113" s="113"/>
      <c r="X113" s="113"/>
      <c r="Y113" s="113"/>
      <c r="Z113" s="113"/>
      <c r="AA113" s="113"/>
      <c r="AB113" s="113"/>
      <c r="AC113" s="125"/>
      <c r="AD113" s="116"/>
      <c r="AE113" s="116"/>
      <c r="AF113" s="116"/>
      <c r="AG113" s="116"/>
      <c r="AH113" s="114"/>
      <c r="AI113" s="116"/>
      <c r="AJ113" s="116"/>
      <c r="AK113" s="114"/>
      <c r="AL113" s="114"/>
      <c r="AM113" s="114"/>
      <c r="AN113" s="114"/>
      <c r="AO113" s="114"/>
      <c r="AP113" s="114"/>
      <c r="AQ113" s="114"/>
      <c r="AR113" s="114"/>
      <c r="AS113" s="114"/>
      <c r="AT113" s="114"/>
      <c r="AU113" s="113"/>
      <c r="AV113" s="116"/>
      <c r="AW113" s="116"/>
      <c r="AX113" s="116"/>
      <c r="AY113" s="116"/>
      <c r="AZ113" s="116"/>
      <c r="BA113" s="116"/>
      <c r="BB113" s="113"/>
      <c r="BC113" s="113"/>
      <c r="BD113" s="113"/>
      <c r="BE113" s="113"/>
      <c r="BF113" s="116"/>
      <c r="BG113" s="116"/>
      <c r="BH113" s="116"/>
      <c r="BI113" s="116"/>
      <c r="BJ113" s="116"/>
      <c r="BK113" s="116"/>
      <c r="BL113" s="116"/>
      <c r="BM113" s="116"/>
      <c r="BN113" s="116"/>
      <c r="BO113" s="117"/>
      <c r="BP113" s="117"/>
      <c r="BQ113" s="113"/>
      <c r="BR113" s="116"/>
      <c r="BS113" s="113"/>
      <c r="BT113" s="116"/>
      <c r="BU113" s="113"/>
      <c r="BV113" s="113"/>
      <c r="BW113" s="113"/>
      <c r="BX113" s="116"/>
      <c r="BY113" s="113"/>
      <c r="BZ113" s="113"/>
      <c r="CA113" s="113"/>
      <c r="CB113" s="113"/>
      <c r="CC113" s="113"/>
      <c r="CD113" s="113"/>
      <c r="CE113" s="117"/>
      <c r="CF113" s="118"/>
      <c r="CG113" s="117"/>
      <c r="CH113" s="117"/>
      <c r="CI113" s="118"/>
      <c r="CJ113" s="118"/>
      <c r="CK113" s="119"/>
      <c r="CL113" s="117"/>
      <c r="CM113" s="117"/>
      <c r="CN113" s="117"/>
      <c r="CO113" s="117"/>
      <c r="CP113" s="118"/>
      <c r="CQ113" s="132"/>
      <c r="CR113" s="132"/>
      <c r="CS113" s="132"/>
      <c r="CT113" s="129"/>
      <c r="CU113" s="129"/>
      <c r="CV113" s="129"/>
      <c r="CW113" s="112"/>
      <c r="CX113" s="112"/>
      <c r="CY113" s="112"/>
      <c r="CZ113" s="112"/>
      <c r="DA113" s="112"/>
      <c r="DB113" s="112"/>
      <c r="DC113" s="112"/>
      <c r="DD113" s="112"/>
      <c r="DE113" s="112"/>
      <c r="DF113" s="112"/>
      <c r="DG113" s="112"/>
      <c r="DH113" s="112"/>
      <c r="DI113" s="112"/>
      <c r="DJ113" s="112"/>
      <c r="DK113" s="112"/>
      <c r="DL113" s="112"/>
    </row>
    <row r="114" spans="1:116" s="253" customFormat="1" x14ac:dyDescent="0.2">
      <c r="A114" s="254"/>
      <c r="B114" s="255" t="s">
        <v>2216</v>
      </c>
      <c r="C114" s="256"/>
      <c r="D114" s="274"/>
      <c r="E114" s="260"/>
      <c r="F114" s="260"/>
      <c r="G114" s="260"/>
      <c r="H114" s="260"/>
      <c r="I114" s="256"/>
      <c r="J114" s="260"/>
      <c r="K114" s="260"/>
      <c r="L114" s="260"/>
      <c r="M114" s="256"/>
      <c r="N114" s="256"/>
      <c r="O114" s="256"/>
      <c r="P114" s="256"/>
      <c r="Q114" s="256"/>
      <c r="R114" s="256"/>
      <c r="S114" s="256"/>
      <c r="T114" s="256"/>
      <c r="U114" s="256"/>
      <c r="V114" s="256"/>
      <c r="W114" s="256"/>
      <c r="X114" s="256"/>
      <c r="Y114" s="256"/>
      <c r="Z114" s="256"/>
      <c r="AA114" s="256"/>
      <c r="AB114" s="256"/>
      <c r="AC114" s="261"/>
      <c r="AD114" s="262"/>
      <c r="AE114" s="262"/>
      <c r="AF114" s="262"/>
      <c r="AG114" s="262"/>
      <c r="AH114" s="263"/>
      <c r="AI114" s="262"/>
      <c r="AJ114" s="262"/>
      <c r="AK114" s="263"/>
      <c r="AL114" s="263"/>
      <c r="AM114" s="263"/>
      <c r="AN114" s="263"/>
      <c r="AO114" s="263"/>
      <c r="AP114" s="263"/>
      <c r="AQ114" s="263"/>
      <c r="AR114" s="263"/>
      <c r="AS114" s="263"/>
      <c r="AT114" s="263"/>
      <c r="AU114" s="256"/>
      <c r="AV114" s="262"/>
      <c r="AW114" s="262"/>
      <c r="AX114" s="262"/>
      <c r="AY114" s="262"/>
      <c r="AZ114" s="262"/>
      <c r="BA114" s="262"/>
      <c r="BB114" s="256"/>
      <c r="BC114" s="256"/>
      <c r="BD114" s="256"/>
      <c r="BE114" s="256"/>
      <c r="BF114" s="262"/>
      <c r="BG114" s="262"/>
      <c r="BH114" s="262"/>
      <c r="BI114" s="262"/>
      <c r="BJ114" s="262"/>
      <c r="BK114" s="262"/>
      <c r="BL114" s="262"/>
      <c r="BM114" s="262"/>
      <c r="BN114" s="262"/>
      <c r="BO114" s="265"/>
      <c r="BP114" s="265"/>
      <c r="BQ114" s="256"/>
      <c r="BR114" s="262"/>
      <c r="BS114" s="256"/>
      <c r="BT114" s="262"/>
      <c r="BU114" s="256"/>
      <c r="BV114" s="256"/>
      <c r="BW114" s="256"/>
      <c r="BX114" s="262"/>
      <c r="BY114" s="256"/>
      <c r="BZ114" s="256"/>
      <c r="CA114" s="256"/>
      <c r="CB114" s="256"/>
      <c r="CC114" s="256"/>
      <c r="CD114" s="256"/>
      <c r="CE114" s="265"/>
      <c r="CF114" s="266"/>
      <c r="CG114" s="265"/>
      <c r="CH114" s="265"/>
      <c r="CI114" s="266"/>
      <c r="CJ114" s="266"/>
      <c r="CK114" s="267"/>
      <c r="CL114" s="265"/>
      <c r="CM114" s="265"/>
      <c r="CN114" s="265"/>
      <c r="CO114" s="265"/>
      <c r="CP114" s="266"/>
      <c r="CQ114" s="275"/>
      <c r="CR114" s="275"/>
      <c r="CS114" s="275"/>
      <c r="CT114" s="268"/>
      <c r="CU114" s="268"/>
      <c r="CV114" s="268"/>
      <c r="CW114" s="255"/>
      <c r="CX114" s="255"/>
      <c r="CY114" s="255"/>
      <c r="CZ114" s="255"/>
      <c r="DA114" s="255"/>
      <c r="DB114" s="255"/>
      <c r="DC114" s="255"/>
      <c r="DD114" s="255"/>
      <c r="DE114" s="255"/>
      <c r="DF114" s="255"/>
      <c r="DG114" s="255"/>
      <c r="DH114" s="255"/>
      <c r="DI114" s="255"/>
      <c r="DJ114" s="255"/>
      <c r="DK114" s="255"/>
      <c r="DL114" s="255"/>
    </row>
    <row r="115" spans="1:116" x14ac:dyDescent="0.2">
      <c r="A115" s="111"/>
      <c r="B115" s="112" t="s">
        <v>2217</v>
      </c>
      <c r="C115" s="113"/>
      <c r="D115" s="131"/>
      <c r="E115" s="124"/>
      <c r="F115" s="124"/>
      <c r="G115" s="124"/>
      <c r="H115" s="124"/>
      <c r="I115" s="113"/>
      <c r="J115" s="124"/>
      <c r="K115" s="124"/>
      <c r="L115" s="124"/>
      <c r="M115" s="113"/>
      <c r="N115" s="113"/>
      <c r="O115" s="113"/>
      <c r="P115" s="113"/>
      <c r="Q115" s="113"/>
      <c r="R115" s="113"/>
      <c r="S115" s="113"/>
      <c r="T115" s="113"/>
      <c r="U115" s="113"/>
      <c r="V115" s="113"/>
      <c r="W115" s="113"/>
      <c r="X115" s="113"/>
      <c r="Y115" s="113"/>
      <c r="Z115" s="113"/>
      <c r="AA115" s="113"/>
      <c r="AB115" s="113"/>
      <c r="AC115" s="125"/>
      <c r="AD115" s="116"/>
      <c r="AE115" s="116"/>
      <c r="AF115" s="116"/>
      <c r="AG115" s="116"/>
      <c r="AH115" s="114"/>
      <c r="AI115" s="116"/>
      <c r="AJ115" s="116"/>
      <c r="AK115" s="114"/>
      <c r="AL115" s="114"/>
      <c r="AM115" s="114"/>
      <c r="AN115" s="114"/>
      <c r="AO115" s="114"/>
      <c r="AP115" s="114"/>
      <c r="AQ115" s="114"/>
      <c r="AR115" s="114"/>
      <c r="AS115" s="114"/>
      <c r="AT115" s="114"/>
      <c r="AU115" s="113"/>
      <c r="AV115" s="116"/>
      <c r="AW115" s="116"/>
      <c r="AX115" s="116"/>
      <c r="AY115" s="116"/>
      <c r="AZ115" s="116"/>
      <c r="BA115" s="116"/>
      <c r="BB115" s="113"/>
      <c r="BC115" s="113"/>
      <c r="BD115" s="113"/>
      <c r="BE115" s="113"/>
      <c r="BF115" s="116"/>
      <c r="BG115" s="116"/>
      <c r="BH115" s="116"/>
      <c r="BI115" s="116"/>
      <c r="BJ115" s="116"/>
      <c r="BK115" s="116"/>
      <c r="BL115" s="116"/>
      <c r="BM115" s="116"/>
      <c r="BN115" s="116"/>
      <c r="BO115" s="117"/>
      <c r="BP115" s="117"/>
      <c r="BQ115" s="113"/>
      <c r="BR115" s="116"/>
      <c r="BS115" s="113"/>
      <c r="BT115" s="116"/>
      <c r="BU115" s="113"/>
      <c r="BV115" s="113"/>
      <c r="BW115" s="113"/>
      <c r="BX115" s="116"/>
      <c r="BY115" s="113"/>
      <c r="BZ115" s="113"/>
      <c r="CA115" s="113"/>
      <c r="CB115" s="113"/>
      <c r="CC115" s="113"/>
      <c r="CD115" s="113"/>
      <c r="CE115" s="117"/>
      <c r="CF115" s="118"/>
      <c r="CG115" s="117"/>
      <c r="CH115" s="117"/>
      <c r="CI115" s="118"/>
      <c r="CJ115" s="118"/>
      <c r="CK115" s="119"/>
      <c r="CL115" s="117"/>
      <c r="CM115" s="117"/>
      <c r="CN115" s="117"/>
      <c r="CO115" s="117"/>
      <c r="CP115" s="118"/>
      <c r="CQ115" s="132"/>
      <c r="CR115" s="132"/>
      <c r="CS115" s="132"/>
      <c r="CT115" s="129"/>
      <c r="CU115" s="129"/>
      <c r="CV115" s="129"/>
      <c r="CW115" s="112"/>
      <c r="CX115" s="112"/>
      <c r="CY115" s="112"/>
      <c r="CZ115" s="112"/>
      <c r="DA115" s="112"/>
      <c r="DB115" s="112"/>
      <c r="DC115" s="112"/>
      <c r="DD115" s="112"/>
      <c r="DE115" s="112"/>
      <c r="DF115" s="112"/>
      <c r="DG115" s="112"/>
      <c r="DH115" s="112"/>
      <c r="DI115" s="112"/>
      <c r="DJ115" s="112"/>
      <c r="DK115" s="112"/>
      <c r="DL115" s="112"/>
    </row>
    <row r="116" spans="1:116" s="253" customFormat="1" x14ac:dyDescent="0.2">
      <c r="A116" s="254"/>
      <c r="B116" s="255" t="s">
        <v>2218</v>
      </c>
      <c r="C116" s="256"/>
      <c r="D116" s="274"/>
      <c r="E116" s="260"/>
      <c r="F116" s="260"/>
      <c r="G116" s="260"/>
      <c r="H116" s="260"/>
      <c r="I116" s="256"/>
      <c r="J116" s="260"/>
      <c r="K116" s="260"/>
      <c r="L116" s="260"/>
      <c r="M116" s="256"/>
      <c r="N116" s="256"/>
      <c r="O116" s="256"/>
      <c r="P116" s="256"/>
      <c r="Q116" s="256"/>
      <c r="R116" s="256"/>
      <c r="S116" s="256"/>
      <c r="T116" s="256"/>
      <c r="U116" s="256"/>
      <c r="V116" s="256"/>
      <c r="W116" s="256"/>
      <c r="X116" s="256"/>
      <c r="Y116" s="256"/>
      <c r="Z116" s="256"/>
      <c r="AA116" s="256"/>
      <c r="AB116" s="256"/>
      <c r="AC116" s="261"/>
      <c r="AD116" s="262"/>
      <c r="AE116" s="262"/>
      <c r="AF116" s="262"/>
      <c r="AG116" s="262"/>
      <c r="AH116" s="263"/>
      <c r="AI116" s="262"/>
      <c r="AJ116" s="262"/>
      <c r="AK116" s="263"/>
      <c r="AL116" s="263"/>
      <c r="AM116" s="263"/>
      <c r="AN116" s="263"/>
      <c r="AO116" s="263"/>
      <c r="AP116" s="263"/>
      <c r="AQ116" s="263"/>
      <c r="AR116" s="263"/>
      <c r="AS116" s="263"/>
      <c r="AT116" s="263"/>
      <c r="AU116" s="256"/>
      <c r="AV116" s="262"/>
      <c r="AW116" s="262"/>
      <c r="AX116" s="262"/>
      <c r="AY116" s="262"/>
      <c r="AZ116" s="262"/>
      <c r="BA116" s="262"/>
      <c r="BB116" s="256"/>
      <c r="BC116" s="256"/>
      <c r="BD116" s="256"/>
      <c r="BE116" s="256"/>
      <c r="BF116" s="262"/>
      <c r="BG116" s="262"/>
      <c r="BH116" s="262"/>
      <c r="BI116" s="262"/>
      <c r="BJ116" s="262"/>
      <c r="BK116" s="262"/>
      <c r="BL116" s="262"/>
      <c r="BM116" s="262"/>
      <c r="BN116" s="262"/>
      <c r="BO116" s="265"/>
      <c r="BP116" s="265"/>
      <c r="BQ116" s="256"/>
      <c r="BR116" s="262"/>
      <c r="BS116" s="256"/>
      <c r="BT116" s="262"/>
      <c r="BU116" s="256"/>
      <c r="BV116" s="256"/>
      <c r="BW116" s="256"/>
      <c r="BX116" s="262"/>
      <c r="BY116" s="256"/>
      <c r="BZ116" s="256"/>
      <c r="CA116" s="256"/>
      <c r="CB116" s="256"/>
      <c r="CC116" s="256"/>
      <c r="CD116" s="256"/>
      <c r="CE116" s="265"/>
      <c r="CF116" s="266"/>
      <c r="CG116" s="265"/>
      <c r="CH116" s="265"/>
      <c r="CI116" s="266"/>
      <c r="CJ116" s="266"/>
      <c r="CK116" s="267"/>
      <c r="CL116" s="265"/>
      <c r="CM116" s="265"/>
      <c r="CN116" s="265"/>
      <c r="CO116" s="265"/>
      <c r="CP116" s="266"/>
      <c r="CQ116" s="275"/>
      <c r="CR116" s="275"/>
      <c r="CS116" s="275"/>
      <c r="CT116" s="268"/>
      <c r="CU116" s="268"/>
      <c r="CV116" s="268"/>
      <c r="CW116" s="255"/>
      <c r="CX116" s="255"/>
      <c r="CY116" s="255"/>
      <c r="CZ116" s="255"/>
      <c r="DA116" s="255"/>
      <c r="DB116" s="255"/>
      <c r="DC116" s="255"/>
      <c r="DD116" s="255"/>
      <c r="DE116" s="255"/>
      <c r="DF116" s="255"/>
      <c r="DG116" s="255"/>
      <c r="DH116" s="255"/>
      <c r="DI116" s="255"/>
      <c r="DJ116" s="255"/>
      <c r="DK116" s="255"/>
      <c r="DL116" s="255"/>
    </row>
    <row r="117" spans="1:116" x14ac:dyDescent="0.2">
      <c r="A117" s="111"/>
      <c r="B117" s="112" t="s">
        <v>2219</v>
      </c>
      <c r="C117" s="113"/>
      <c r="D117" s="131"/>
      <c r="E117" s="124"/>
      <c r="F117" s="124"/>
      <c r="G117" s="124"/>
      <c r="H117" s="124"/>
      <c r="I117" s="113"/>
      <c r="J117" s="124"/>
      <c r="K117" s="124"/>
      <c r="L117" s="124"/>
      <c r="M117" s="113"/>
      <c r="N117" s="113"/>
      <c r="O117" s="113"/>
      <c r="P117" s="113"/>
      <c r="Q117" s="113"/>
      <c r="R117" s="113"/>
      <c r="S117" s="113"/>
      <c r="T117" s="113"/>
      <c r="U117" s="113"/>
      <c r="V117" s="113"/>
      <c r="W117" s="113"/>
      <c r="X117" s="113"/>
      <c r="Y117" s="113"/>
      <c r="Z117" s="113"/>
      <c r="AA117" s="113"/>
      <c r="AB117" s="113"/>
      <c r="AC117" s="125"/>
      <c r="AD117" s="116"/>
      <c r="AE117" s="116"/>
      <c r="AF117" s="116"/>
      <c r="AG117" s="116"/>
      <c r="AH117" s="114"/>
      <c r="AI117" s="116"/>
      <c r="AJ117" s="116"/>
      <c r="AK117" s="114"/>
      <c r="AL117" s="114"/>
      <c r="AM117" s="114"/>
      <c r="AN117" s="114"/>
      <c r="AO117" s="114"/>
      <c r="AP117" s="114"/>
      <c r="AQ117" s="114"/>
      <c r="AR117" s="114"/>
      <c r="AS117" s="114"/>
      <c r="AT117" s="114"/>
      <c r="AU117" s="113"/>
      <c r="AV117" s="116"/>
      <c r="AW117" s="116"/>
      <c r="AX117" s="116"/>
      <c r="AY117" s="116"/>
      <c r="AZ117" s="116"/>
      <c r="BA117" s="116"/>
      <c r="BB117" s="113"/>
      <c r="BC117" s="113"/>
      <c r="BD117" s="113"/>
      <c r="BE117" s="113"/>
      <c r="BF117" s="116"/>
      <c r="BG117" s="116"/>
      <c r="BH117" s="116"/>
      <c r="BI117" s="116"/>
      <c r="BJ117" s="116"/>
      <c r="BK117" s="116"/>
      <c r="BL117" s="116"/>
      <c r="BM117" s="116"/>
      <c r="BN117" s="116"/>
      <c r="BO117" s="117"/>
      <c r="BP117" s="117"/>
      <c r="BQ117" s="113"/>
      <c r="BR117" s="116"/>
      <c r="BS117" s="113"/>
      <c r="BT117" s="116"/>
      <c r="BU117" s="113"/>
      <c r="BV117" s="113"/>
      <c r="BW117" s="113"/>
      <c r="BX117" s="116"/>
      <c r="BY117" s="113"/>
      <c r="BZ117" s="113"/>
      <c r="CA117" s="113"/>
      <c r="CB117" s="113"/>
      <c r="CC117" s="113"/>
      <c r="CD117" s="113"/>
      <c r="CE117" s="117"/>
      <c r="CF117" s="118"/>
      <c r="CG117" s="117"/>
      <c r="CH117" s="117"/>
      <c r="CI117" s="118"/>
      <c r="CJ117" s="118"/>
      <c r="CK117" s="119"/>
      <c r="CL117" s="117"/>
      <c r="CM117" s="117"/>
      <c r="CN117" s="117"/>
      <c r="CO117" s="117"/>
      <c r="CP117" s="118"/>
      <c r="CQ117" s="132"/>
      <c r="CR117" s="132"/>
      <c r="CS117" s="132"/>
      <c r="CT117" s="129"/>
      <c r="CU117" s="129"/>
      <c r="CV117" s="129"/>
      <c r="CW117" s="112"/>
      <c r="CX117" s="112"/>
      <c r="CY117" s="112"/>
      <c r="CZ117" s="112"/>
      <c r="DA117" s="112"/>
      <c r="DB117" s="112"/>
      <c r="DC117" s="112"/>
      <c r="DD117" s="112"/>
      <c r="DE117" s="112"/>
      <c r="DF117" s="112"/>
      <c r="DG117" s="112"/>
      <c r="DH117" s="112"/>
      <c r="DI117" s="112"/>
      <c r="DJ117" s="112"/>
      <c r="DK117" s="112"/>
      <c r="DL117" s="112"/>
    </row>
    <row r="118" spans="1:116" s="253" customFormat="1" ht="13.5" thickBot="1" x14ac:dyDescent="0.25">
      <c r="A118" s="282"/>
      <c r="B118" s="283" t="s">
        <v>2214</v>
      </c>
      <c r="C118" s="284"/>
      <c r="D118" s="285"/>
      <c r="E118" s="286"/>
      <c r="F118" s="286"/>
      <c r="G118" s="286"/>
      <c r="H118" s="286"/>
      <c r="I118" s="284"/>
      <c r="J118" s="286"/>
      <c r="K118" s="286"/>
      <c r="L118" s="286"/>
      <c r="M118" s="284"/>
      <c r="N118" s="284"/>
      <c r="O118" s="284"/>
      <c r="P118" s="284"/>
      <c r="Q118" s="284"/>
      <c r="R118" s="284"/>
      <c r="S118" s="284"/>
      <c r="T118" s="284"/>
      <c r="U118" s="284"/>
      <c r="V118" s="284"/>
      <c r="W118" s="284"/>
      <c r="X118" s="284"/>
      <c r="Y118" s="284"/>
      <c r="Z118" s="284"/>
      <c r="AA118" s="284"/>
      <c r="AB118" s="284"/>
      <c r="AC118" s="288"/>
      <c r="AD118" s="289"/>
      <c r="AE118" s="289"/>
      <c r="AF118" s="289"/>
      <c r="AG118" s="289"/>
      <c r="AH118" s="290"/>
      <c r="AI118" s="289"/>
      <c r="AJ118" s="289"/>
      <c r="AK118" s="290"/>
      <c r="AL118" s="290"/>
      <c r="AM118" s="290"/>
      <c r="AN118" s="290"/>
      <c r="AO118" s="290"/>
      <c r="AP118" s="290"/>
      <c r="AQ118" s="290"/>
      <c r="AR118" s="290"/>
      <c r="AS118" s="290"/>
      <c r="AT118" s="290"/>
      <c r="AU118" s="284"/>
      <c r="AV118" s="289"/>
      <c r="AW118" s="289"/>
      <c r="AX118" s="289"/>
      <c r="AY118" s="289"/>
      <c r="AZ118" s="289"/>
      <c r="BA118" s="289"/>
      <c r="BB118" s="284"/>
      <c r="BC118" s="284"/>
      <c r="BD118" s="284"/>
      <c r="BE118" s="284"/>
      <c r="BF118" s="289"/>
      <c r="BG118" s="289"/>
      <c r="BH118" s="289"/>
      <c r="BI118" s="289"/>
      <c r="BJ118" s="289"/>
      <c r="BK118" s="289"/>
      <c r="BL118" s="289"/>
      <c r="BM118" s="289"/>
      <c r="BN118" s="289"/>
      <c r="BO118" s="293"/>
      <c r="BP118" s="293"/>
      <c r="BQ118" s="284"/>
      <c r="BR118" s="289"/>
      <c r="BS118" s="284"/>
      <c r="BT118" s="289"/>
      <c r="BU118" s="284"/>
      <c r="BV118" s="284"/>
      <c r="BW118" s="284"/>
      <c r="BX118" s="289"/>
      <c r="BY118" s="284"/>
      <c r="BZ118" s="284"/>
      <c r="CA118" s="284"/>
      <c r="CB118" s="284"/>
      <c r="CC118" s="284"/>
      <c r="CD118" s="284"/>
      <c r="CE118" s="293"/>
      <c r="CF118" s="294"/>
      <c r="CG118" s="293"/>
      <c r="CH118" s="293"/>
      <c r="CI118" s="294"/>
      <c r="CJ118" s="294"/>
      <c r="CK118" s="295"/>
      <c r="CL118" s="293"/>
      <c r="CM118" s="293"/>
      <c r="CN118" s="293"/>
      <c r="CO118" s="293"/>
      <c r="CP118" s="294"/>
      <c r="CQ118" s="304"/>
      <c r="CR118" s="304"/>
      <c r="CS118" s="304"/>
      <c r="CT118" s="305"/>
      <c r="CU118" s="305"/>
      <c r="CV118" s="305"/>
      <c r="CW118" s="283"/>
      <c r="CX118" s="283"/>
      <c r="CY118" s="283"/>
      <c r="CZ118" s="283"/>
      <c r="DA118" s="283"/>
      <c r="DB118" s="283"/>
      <c r="DC118" s="283"/>
      <c r="DD118" s="283"/>
      <c r="DE118" s="283"/>
      <c r="DF118" s="283"/>
      <c r="DG118" s="283"/>
      <c r="DH118" s="283"/>
      <c r="DI118" s="283"/>
      <c r="DJ118" s="283"/>
      <c r="DK118" s="283"/>
      <c r="DL118" s="283"/>
    </row>
    <row r="119" spans="1:116" s="195" customFormat="1" ht="14.25" thickTop="1" thickBot="1" x14ac:dyDescent="0.25">
      <c r="A119" s="311"/>
      <c r="B119" s="178"/>
      <c r="C119" s="179"/>
      <c r="D119" s="180" t="s">
        <v>294</v>
      </c>
      <c r="E119" s="181"/>
      <c r="F119" s="181"/>
      <c r="G119" s="181"/>
      <c r="H119" s="181"/>
      <c r="I119" s="182"/>
      <c r="J119" s="181"/>
      <c r="K119" s="213"/>
      <c r="L119" s="213"/>
      <c r="M119" s="179"/>
      <c r="N119" s="179"/>
      <c r="O119" s="179"/>
      <c r="P119" s="179"/>
      <c r="Q119" s="179"/>
      <c r="R119" s="179"/>
      <c r="S119" s="179"/>
      <c r="T119" s="179"/>
      <c r="U119" s="179"/>
      <c r="V119" s="179"/>
      <c r="W119" s="179"/>
      <c r="X119" s="179"/>
      <c r="Y119" s="179"/>
      <c r="Z119" s="179"/>
      <c r="AA119" s="179"/>
      <c r="AB119" s="179"/>
      <c r="AC119" s="220"/>
      <c r="AD119" s="189"/>
      <c r="AE119" s="189"/>
      <c r="AF119" s="189"/>
      <c r="AG119" s="189"/>
      <c r="AH119" s="187"/>
      <c r="AI119" s="189"/>
      <c r="AJ119" s="189"/>
      <c r="AK119" s="187"/>
      <c r="AL119" s="187"/>
      <c r="AM119" s="187"/>
      <c r="AN119" s="187"/>
      <c r="AO119" s="187"/>
      <c r="AP119" s="187"/>
      <c r="AQ119" s="187"/>
      <c r="AR119" s="187"/>
      <c r="AS119" s="187"/>
      <c r="AT119" s="187"/>
      <c r="AU119" s="179"/>
      <c r="AV119" s="189"/>
      <c r="AW119" s="189"/>
      <c r="AX119" s="189"/>
      <c r="AY119" s="189"/>
      <c r="AZ119" s="189"/>
      <c r="BA119" s="189"/>
      <c r="BB119" s="179"/>
      <c r="BC119" s="179"/>
      <c r="BD119" s="179"/>
      <c r="BE119" s="179"/>
      <c r="BF119" s="189"/>
      <c r="BG119" s="189"/>
      <c r="BH119" s="189"/>
      <c r="BI119" s="189"/>
      <c r="BJ119" s="189"/>
      <c r="BK119" s="189"/>
      <c r="BL119" s="189"/>
      <c r="BM119" s="189"/>
      <c r="BN119" s="189"/>
      <c r="BO119" s="190"/>
      <c r="BP119" s="190"/>
      <c r="BQ119" s="179"/>
      <c r="BR119" s="189"/>
      <c r="BS119" s="179"/>
      <c r="BT119" s="189"/>
      <c r="BU119" s="179"/>
      <c r="BV119" s="179"/>
      <c r="BW119" s="179"/>
      <c r="BX119" s="189"/>
      <c r="BY119" s="179"/>
      <c r="BZ119" s="179"/>
      <c r="CA119" s="179"/>
      <c r="CB119" s="179"/>
      <c r="CC119" s="179"/>
      <c r="CD119" s="179"/>
      <c r="CE119" s="190"/>
      <c r="CF119" s="193"/>
      <c r="CG119" s="190"/>
      <c r="CH119" s="190"/>
      <c r="CI119" s="193"/>
      <c r="CJ119" s="193"/>
      <c r="CK119" s="194"/>
      <c r="CL119" s="190"/>
      <c r="CM119" s="190"/>
      <c r="CN119" s="190"/>
      <c r="CO119" s="190"/>
      <c r="CP119" s="193"/>
      <c r="CQ119" s="178"/>
      <c r="CR119" s="178"/>
      <c r="CS119" s="178"/>
      <c r="CT119" s="178"/>
      <c r="CU119" s="178"/>
      <c r="CV119" s="178"/>
      <c r="CW119" s="178"/>
      <c r="CX119" s="178"/>
      <c r="CY119" s="178"/>
      <c r="CZ119" s="178"/>
      <c r="DA119" s="178"/>
      <c r="DB119" s="178"/>
      <c r="DC119" s="178"/>
      <c r="DD119" s="178"/>
      <c r="DE119" s="178"/>
      <c r="DF119" s="178"/>
      <c r="DG119" s="178"/>
      <c r="DH119" s="178"/>
      <c r="DI119" s="178"/>
      <c r="DJ119" s="178"/>
      <c r="DK119" s="178"/>
      <c r="DL119" s="178"/>
    </row>
    <row r="120" spans="1:116" ht="13.5" thickTop="1" x14ac:dyDescent="0.2">
      <c r="A120" s="167"/>
      <c r="B120" s="168" t="s">
        <v>286</v>
      </c>
      <c r="C120" s="169"/>
      <c r="D120" s="212" t="s">
        <v>247</v>
      </c>
      <c r="E120" s="170" t="s">
        <v>248</v>
      </c>
      <c r="F120" s="170"/>
      <c r="G120" s="170"/>
      <c r="H120" s="170"/>
      <c r="I120" s="169"/>
      <c r="J120" s="170"/>
      <c r="K120" s="170"/>
      <c r="L120" s="170"/>
      <c r="M120" s="169"/>
      <c r="N120" s="169"/>
      <c r="O120" s="169"/>
      <c r="P120" s="169"/>
      <c r="Q120" s="169"/>
      <c r="R120" s="169"/>
      <c r="S120" s="169"/>
      <c r="T120" s="169"/>
      <c r="U120" s="169"/>
      <c r="V120" s="169"/>
      <c r="W120" s="169"/>
      <c r="X120" s="169"/>
      <c r="Y120" s="169"/>
      <c r="Z120" s="169"/>
      <c r="AA120" s="169"/>
      <c r="AB120" s="169"/>
      <c r="AC120" s="171"/>
      <c r="AD120" s="172"/>
      <c r="AE120" s="172"/>
      <c r="AF120" s="172"/>
      <c r="AG120" s="172"/>
      <c r="AH120" s="173"/>
      <c r="AI120" s="172"/>
      <c r="AJ120" s="172"/>
      <c r="AK120" s="173"/>
      <c r="AL120" s="173"/>
      <c r="AM120" s="173" t="s">
        <v>677</v>
      </c>
      <c r="AN120" s="173">
        <f>'Wastewater Short School'!E36</f>
        <v>4.4000000000000012</v>
      </c>
      <c r="AO120" s="173">
        <f>'Wastewater Short School'!F36</f>
        <v>1.75</v>
      </c>
      <c r="AP120" s="173">
        <f>'Wastewater Short School'!G36</f>
        <v>4.4000000000000012</v>
      </c>
      <c r="AQ120" s="173">
        <f>'Wastewater Short School'!H36</f>
        <v>4.4000000000000012</v>
      </c>
      <c r="AR120" s="173">
        <f>'Wastewater Short School'!I36</f>
        <v>1.0500000000000003</v>
      </c>
      <c r="AS120" s="173">
        <f>'Wastewater Short School'!J36</f>
        <v>1.5000000000000002</v>
      </c>
      <c r="AT120" s="173"/>
      <c r="AU120" s="169"/>
      <c r="AV120" s="172"/>
      <c r="AW120" s="172"/>
      <c r="AX120" s="172"/>
      <c r="AY120" s="172"/>
      <c r="AZ120" s="172"/>
      <c r="BA120" s="172"/>
      <c r="BB120" s="169"/>
      <c r="BC120" s="169"/>
      <c r="BD120" s="169"/>
      <c r="BE120" s="169"/>
      <c r="BF120" s="172"/>
      <c r="BG120" s="172"/>
      <c r="BH120" s="172"/>
      <c r="BI120" s="172"/>
      <c r="BJ120" s="172"/>
      <c r="BK120" s="172"/>
      <c r="BL120" s="172"/>
      <c r="BM120" s="172"/>
      <c r="BN120" s="172"/>
      <c r="BO120" s="174"/>
      <c r="BP120" s="174"/>
      <c r="BQ120" s="169"/>
      <c r="BR120" s="172"/>
      <c r="BS120" s="169"/>
      <c r="BT120" s="172"/>
      <c r="BU120" s="169"/>
      <c r="BV120" s="169"/>
      <c r="BW120" s="169"/>
      <c r="BX120" s="223"/>
      <c r="BY120" s="169"/>
      <c r="BZ120" s="169"/>
      <c r="CA120" s="169"/>
      <c r="CB120" s="169"/>
      <c r="CC120" s="169"/>
      <c r="CD120" s="169"/>
      <c r="CE120" s="174"/>
      <c r="CF120" s="175"/>
      <c r="CG120" s="174"/>
      <c r="CH120" s="174"/>
      <c r="CI120" s="175"/>
      <c r="CJ120" s="175"/>
      <c r="CK120" s="176"/>
      <c r="CL120" s="175"/>
      <c r="CM120" s="174"/>
      <c r="CN120" s="174"/>
      <c r="CO120" s="174"/>
      <c r="CP120" s="175"/>
      <c r="CQ120" s="170"/>
      <c r="CR120" s="170"/>
      <c r="CS120" s="170"/>
      <c r="CT120" s="170"/>
      <c r="CU120" s="170"/>
      <c r="CV120" s="170"/>
      <c r="CW120" s="168"/>
      <c r="CX120" s="168"/>
      <c r="CY120" s="168"/>
      <c r="CZ120" s="168"/>
      <c r="DA120" s="168"/>
      <c r="DB120" s="168"/>
      <c r="DC120" s="168"/>
      <c r="DD120" s="168"/>
      <c r="DE120" s="168"/>
      <c r="DF120" s="168"/>
      <c r="DG120" s="168"/>
      <c r="DH120" s="168"/>
      <c r="DI120" s="168"/>
      <c r="DJ120" s="168"/>
      <c r="DK120" s="168"/>
      <c r="DL120" s="168"/>
    </row>
    <row r="121" spans="1:116" x14ac:dyDescent="0.2">
      <c r="A121" s="111"/>
      <c r="B121" s="112"/>
      <c r="C121" s="113"/>
      <c r="D121" s="131" t="s">
        <v>312</v>
      </c>
      <c r="E121" s="124"/>
      <c r="F121" s="124"/>
      <c r="G121" s="124"/>
      <c r="H121" s="124"/>
      <c r="I121" s="113"/>
      <c r="J121" s="124"/>
      <c r="K121" s="124"/>
      <c r="L121" s="124"/>
      <c r="M121" s="113"/>
      <c r="N121" s="113"/>
      <c r="O121" s="113"/>
      <c r="P121" s="113"/>
      <c r="Q121" s="113"/>
      <c r="R121" s="113"/>
      <c r="S121" s="113"/>
      <c r="T121" s="113"/>
      <c r="U121" s="113"/>
      <c r="V121" s="113"/>
      <c r="W121" s="113"/>
      <c r="X121" s="113"/>
      <c r="Y121" s="113"/>
      <c r="Z121" s="113"/>
      <c r="AA121" s="113"/>
      <c r="AB121" s="113"/>
      <c r="AC121" s="125"/>
      <c r="AD121" s="116"/>
      <c r="AE121" s="116"/>
      <c r="AF121" s="116"/>
      <c r="AG121" s="116"/>
      <c r="AH121" s="114"/>
      <c r="AI121" s="116"/>
      <c r="AJ121" s="116"/>
      <c r="AK121" s="114"/>
      <c r="AL121" s="114" t="s">
        <v>1278</v>
      </c>
      <c r="AM121" s="114" t="s">
        <v>686</v>
      </c>
      <c r="AN121" s="114">
        <v>0</v>
      </c>
      <c r="AO121" s="114">
        <v>0</v>
      </c>
      <c r="AP121" s="114">
        <v>0</v>
      </c>
      <c r="AQ121" s="114">
        <v>0</v>
      </c>
      <c r="AR121" s="114">
        <v>0</v>
      </c>
      <c r="AS121" s="114">
        <v>0</v>
      </c>
      <c r="AT121" s="114"/>
      <c r="AU121" s="113"/>
      <c r="AV121" s="116"/>
      <c r="AW121" s="116"/>
      <c r="AX121" s="116"/>
      <c r="AY121" s="116"/>
      <c r="AZ121" s="116"/>
      <c r="BA121" s="116"/>
      <c r="BB121" s="113"/>
      <c r="BC121" s="113"/>
      <c r="BD121" s="113"/>
      <c r="BE121" s="113"/>
      <c r="BF121" s="116"/>
      <c r="BG121" s="116"/>
      <c r="BH121" s="116"/>
      <c r="BI121" s="116"/>
      <c r="BJ121" s="116"/>
      <c r="BK121" s="116"/>
      <c r="BL121" s="116"/>
      <c r="BM121" s="116"/>
      <c r="BN121" s="116"/>
      <c r="BO121" s="117"/>
      <c r="BP121" s="117"/>
      <c r="BQ121" s="113"/>
      <c r="BR121" s="116"/>
      <c r="BS121" s="113"/>
      <c r="BT121" s="116"/>
      <c r="BU121" s="113"/>
      <c r="BV121" s="113"/>
      <c r="BW121" s="113"/>
      <c r="BX121" s="145"/>
      <c r="BY121" s="113"/>
      <c r="BZ121" s="113"/>
      <c r="CA121" s="113"/>
      <c r="CB121" s="113"/>
      <c r="CC121" s="113"/>
      <c r="CD121" s="113"/>
      <c r="CE121" s="117"/>
      <c r="CF121" s="118"/>
      <c r="CG121" s="117"/>
      <c r="CH121" s="117"/>
      <c r="CI121" s="118"/>
      <c r="CJ121" s="118"/>
      <c r="CK121" s="119"/>
      <c r="CL121" s="118"/>
      <c r="CM121" s="117"/>
      <c r="CN121" s="117"/>
      <c r="CO121" s="117"/>
      <c r="CP121" s="118"/>
      <c r="CQ121" s="124"/>
      <c r="CR121" s="124"/>
      <c r="CS121" s="124"/>
      <c r="CT121" s="124"/>
      <c r="CU121" s="124"/>
      <c r="CV121" s="124"/>
      <c r="CW121" s="112"/>
      <c r="CX121" s="112"/>
      <c r="CY121" s="112"/>
      <c r="CZ121" s="112"/>
      <c r="DA121" s="112"/>
      <c r="DB121" s="112"/>
      <c r="DC121" s="112"/>
      <c r="DD121" s="112"/>
      <c r="DE121" s="112"/>
      <c r="DF121" s="112"/>
      <c r="DG121" s="112"/>
      <c r="DH121" s="112"/>
      <c r="DI121" s="112"/>
      <c r="DJ121" s="112"/>
      <c r="DK121" s="112"/>
      <c r="DL121" s="112"/>
    </row>
    <row r="122" spans="1:116" x14ac:dyDescent="0.2">
      <c r="A122" s="111"/>
      <c r="B122" s="112" t="s">
        <v>286</v>
      </c>
      <c r="C122" s="113"/>
      <c r="D122" s="131" t="s">
        <v>257</v>
      </c>
      <c r="E122" s="124" t="s">
        <v>248</v>
      </c>
      <c r="F122" s="124"/>
      <c r="G122" s="124"/>
      <c r="H122" s="124"/>
      <c r="I122" s="113"/>
      <c r="J122" s="124"/>
      <c r="K122" s="124"/>
      <c r="L122" s="124"/>
      <c r="M122" s="113"/>
      <c r="N122" s="113"/>
      <c r="O122" s="113"/>
      <c r="P122" s="113"/>
      <c r="Q122" s="113"/>
      <c r="R122" s="113"/>
      <c r="S122" s="113"/>
      <c r="T122" s="113"/>
      <c r="U122" s="113"/>
      <c r="V122" s="113"/>
      <c r="W122" s="113"/>
      <c r="X122" s="113"/>
      <c r="Y122" s="113"/>
      <c r="Z122" s="113"/>
      <c r="AA122" s="113"/>
      <c r="AB122" s="113"/>
      <c r="AC122" s="125"/>
      <c r="AD122" s="116"/>
      <c r="AE122" s="116"/>
      <c r="AF122" s="116"/>
      <c r="AG122" s="116"/>
      <c r="AH122" s="114"/>
      <c r="AI122" s="116"/>
      <c r="AJ122" s="116"/>
      <c r="AK122" s="114"/>
      <c r="AL122" s="114"/>
      <c r="AM122" s="114" t="s">
        <v>676</v>
      </c>
      <c r="AN122" s="114">
        <f>'Water Short School'!F35</f>
        <v>3.8000000000000007</v>
      </c>
      <c r="AO122" s="114">
        <f>'Water Short School'!G35</f>
        <v>3.4500000000000006</v>
      </c>
      <c r="AP122" s="114">
        <f>'Water Short School'!H35</f>
        <v>2.4000000000000008</v>
      </c>
      <c r="AQ122" s="114">
        <f>'Water Short School'!I35</f>
        <v>2.5000000000000009</v>
      </c>
      <c r="AR122" s="114">
        <f>'Water Short School'!J35</f>
        <v>3.4500000000000006</v>
      </c>
      <c r="AS122" s="114">
        <f>'Water Short School'!K35</f>
        <v>1.6000000000000003</v>
      </c>
      <c r="AT122" s="114"/>
      <c r="AU122" s="113"/>
      <c r="AV122" s="116"/>
      <c r="AW122" s="116"/>
      <c r="AX122" s="116"/>
      <c r="AY122" s="116"/>
      <c r="AZ122" s="116"/>
      <c r="BA122" s="116"/>
      <c r="BB122" s="113"/>
      <c r="BC122" s="113"/>
      <c r="BD122" s="113"/>
      <c r="BE122" s="113"/>
      <c r="BF122" s="116"/>
      <c r="BG122" s="116"/>
      <c r="BH122" s="116"/>
      <c r="BI122" s="116"/>
      <c r="BJ122" s="116"/>
      <c r="BK122" s="116"/>
      <c r="BL122" s="116"/>
      <c r="BM122" s="116"/>
      <c r="BN122" s="116"/>
      <c r="BO122" s="117"/>
      <c r="BP122" s="117"/>
      <c r="BQ122" s="113"/>
      <c r="BR122" s="116"/>
      <c r="BS122" s="113"/>
      <c r="BT122" s="116"/>
      <c r="BU122" s="113"/>
      <c r="BV122" s="113"/>
      <c r="BW122" s="113"/>
      <c r="BX122" s="145"/>
      <c r="BY122" s="113"/>
      <c r="BZ122" s="113"/>
      <c r="CA122" s="113"/>
      <c r="CB122" s="113"/>
      <c r="CC122" s="113"/>
      <c r="CD122" s="113"/>
      <c r="CE122" s="117"/>
      <c r="CF122" s="118"/>
      <c r="CG122" s="117"/>
      <c r="CH122" s="117"/>
      <c r="CI122" s="118"/>
      <c r="CJ122" s="118"/>
      <c r="CK122" s="119"/>
      <c r="CL122" s="118"/>
      <c r="CM122" s="117"/>
      <c r="CN122" s="117"/>
      <c r="CO122" s="117"/>
      <c r="CP122" s="118"/>
      <c r="CQ122" s="124"/>
      <c r="CR122" s="124"/>
      <c r="CS122" s="124"/>
      <c r="CT122" s="124"/>
      <c r="CU122" s="124"/>
      <c r="CV122" s="124"/>
      <c r="CW122" s="112"/>
      <c r="CX122" s="112"/>
      <c r="CY122" s="112"/>
      <c r="CZ122" s="112"/>
      <c r="DA122" s="112"/>
      <c r="DB122" s="112"/>
      <c r="DC122" s="112"/>
      <c r="DD122" s="112"/>
      <c r="DE122" s="112"/>
      <c r="DF122" s="112"/>
      <c r="DG122" s="112"/>
      <c r="DH122" s="112"/>
      <c r="DI122" s="112"/>
      <c r="DJ122" s="112"/>
      <c r="DK122" s="112"/>
      <c r="DL122" s="112"/>
    </row>
    <row r="123" spans="1:116" s="236" customFormat="1" ht="13.5" thickBot="1" x14ac:dyDescent="0.25">
      <c r="A123" s="225"/>
      <c r="B123" s="224"/>
      <c r="C123" s="226"/>
      <c r="D123" s="227" t="s">
        <v>313</v>
      </c>
      <c r="E123" s="228"/>
      <c r="F123" s="228"/>
      <c r="G123" s="228"/>
      <c r="H123" s="228"/>
      <c r="I123" s="226"/>
      <c r="J123" s="228"/>
      <c r="K123" s="228"/>
      <c r="L123" s="228"/>
      <c r="M123" s="226"/>
      <c r="N123" s="226"/>
      <c r="O123" s="226"/>
      <c r="P123" s="226"/>
      <c r="Q123" s="226"/>
      <c r="R123" s="226"/>
      <c r="S123" s="226"/>
      <c r="T123" s="226"/>
      <c r="U123" s="226"/>
      <c r="V123" s="226"/>
      <c r="W123" s="226"/>
      <c r="X123" s="226"/>
      <c r="Y123" s="226"/>
      <c r="Z123" s="226"/>
      <c r="AA123" s="226"/>
      <c r="AB123" s="226"/>
      <c r="AC123" s="229"/>
      <c r="AD123" s="230"/>
      <c r="AE123" s="230"/>
      <c r="AF123" s="230"/>
      <c r="AG123" s="230"/>
      <c r="AH123" s="231"/>
      <c r="AI123" s="230"/>
      <c r="AJ123" s="230"/>
      <c r="AK123" s="231"/>
      <c r="AL123" s="231" t="s">
        <v>1277</v>
      </c>
      <c r="AM123" s="231" t="s">
        <v>687</v>
      </c>
      <c r="AN123" s="231">
        <v>0</v>
      </c>
      <c r="AO123" s="231">
        <v>0</v>
      </c>
      <c r="AP123" s="231">
        <v>0</v>
      </c>
      <c r="AQ123" s="231">
        <v>0</v>
      </c>
      <c r="AR123" s="231">
        <v>0</v>
      </c>
      <c r="AS123" s="231">
        <v>0</v>
      </c>
      <c r="AT123" s="231"/>
      <c r="AU123" s="226"/>
      <c r="AV123" s="230"/>
      <c r="AW123" s="230"/>
      <c r="AX123" s="230"/>
      <c r="AY123" s="230"/>
      <c r="AZ123" s="230"/>
      <c r="BA123" s="230"/>
      <c r="BB123" s="226"/>
      <c r="BC123" s="226"/>
      <c r="BD123" s="226"/>
      <c r="BE123" s="226"/>
      <c r="BF123" s="230"/>
      <c r="BG123" s="230"/>
      <c r="BH123" s="230"/>
      <c r="BI123" s="230"/>
      <c r="BJ123" s="230"/>
      <c r="BK123" s="230"/>
      <c r="BL123" s="230"/>
      <c r="BM123" s="230"/>
      <c r="BN123" s="230"/>
      <c r="BO123" s="232"/>
      <c r="BP123" s="232"/>
      <c r="BQ123" s="226"/>
      <c r="BR123" s="230"/>
      <c r="BS123" s="226"/>
      <c r="BT123" s="230"/>
      <c r="BU123" s="226"/>
      <c r="BV123" s="226"/>
      <c r="BW123" s="226"/>
      <c r="BX123" s="233"/>
      <c r="BY123" s="226"/>
      <c r="BZ123" s="226"/>
      <c r="CA123" s="226"/>
      <c r="CB123" s="226"/>
      <c r="CC123" s="226"/>
      <c r="CD123" s="226"/>
      <c r="CE123" s="232"/>
      <c r="CF123" s="234"/>
      <c r="CG123" s="232"/>
      <c r="CH123" s="232"/>
      <c r="CI123" s="234"/>
      <c r="CJ123" s="234"/>
      <c r="CK123" s="235"/>
      <c r="CL123" s="234"/>
      <c r="CM123" s="232"/>
      <c r="CN123" s="232"/>
      <c r="CO123" s="232"/>
      <c r="CP123" s="234"/>
      <c r="CQ123" s="228"/>
      <c r="CR123" s="228"/>
      <c r="CS123" s="228"/>
      <c r="CT123" s="228"/>
      <c r="CU123" s="228"/>
      <c r="CV123" s="228"/>
      <c r="CW123" s="224"/>
      <c r="CX123" s="224"/>
      <c r="CY123" s="224"/>
      <c r="CZ123" s="224"/>
      <c r="DA123" s="224"/>
      <c r="DB123" s="224"/>
      <c r="DC123" s="224"/>
      <c r="DD123" s="224"/>
      <c r="DE123" s="224"/>
      <c r="DF123" s="224"/>
      <c r="DG123" s="224"/>
      <c r="DH123" s="224"/>
      <c r="DI123" s="224"/>
      <c r="DJ123" s="224"/>
      <c r="DK123" s="224"/>
      <c r="DL123" s="224"/>
    </row>
    <row r="124" spans="1:116" ht="13.5" thickTop="1" x14ac:dyDescent="0.2">
      <c r="BT124" s="86"/>
      <c r="BX124" s="93"/>
    </row>
    <row r="125" spans="1:116" x14ac:dyDescent="0.2">
      <c r="A125" s="312">
        <f>COUNTIF(A4:A123,"Yes")</f>
        <v>0</v>
      </c>
      <c r="B125" s="95" t="s">
        <v>292</v>
      </c>
      <c r="C125" s="94"/>
      <c r="D125" s="52"/>
      <c r="E125" s="53"/>
      <c r="F125" s="53"/>
      <c r="G125" s="53"/>
      <c r="H125" s="53"/>
      <c r="I125" s="54"/>
      <c r="J125" s="53"/>
      <c r="M125" s="11"/>
      <c r="N125" s="11"/>
      <c r="O125" s="11"/>
      <c r="P125" s="11"/>
      <c r="Q125" s="11"/>
      <c r="R125" s="11"/>
      <c r="S125" s="11"/>
      <c r="T125" s="11"/>
      <c r="U125" s="11"/>
      <c r="V125" s="11"/>
      <c r="W125" s="11"/>
      <c r="X125" s="11"/>
      <c r="Y125" s="11"/>
      <c r="Z125" s="11"/>
      <c r="AA125" s="11"/>
      <c r="AB125" s="11"/>
      <c r="AC125" s="96"/>
      <c r="AK125" s="97"/>
      <c r="AL125" s="97"/>
      <c r="AM125" s="97"/>
      <c r="AN125" s="97">
        <f t="shared" ref="AN125:AS125" si="12">SUM(AN5:AN99)</f>
        <v>14.649999999999991</v>
      </c>
      <c r="AO125" s="97">
        <f t="shared" si="12"/>
        <v>7.549999999999998</v>
      </c>
      <c r="AP125" s="97">
        <f t="shared" si="12"/>
        <v>12.099999999999994</v>
      </c>
      <c r="AQ125" s="97">
        <f t="shared" si="12"/>
        <v>12.149999999999993</v>
      </c>
      <c r="AR125" s="97">
        <f t="shared" si="12"/>
        <v>5.8500000000000005</v>
      </c>
      <c r="AS125" s="97">
        <f t="shared" si="12"/>
        <v>4.8</v>
      </c>
      <c r="AT125" s="97"/>
      <c r="AU125" s="97"/>
      <c r="AV125" s="97">
        <f>SUM(AV5:AV99)</f>
        <v>90</v>
      </c>
      <c r="AW125" s="97">
        <f>SUM(AW5:AW99)</f>
        <v>28.5</v>
      </c>
      <c r="AX125" s="97"/>
      <c r="AY125" s="97"/>
      <c r="AZ125" s="97"/>
      <c r="BA125" s="97"/>
      <c r="BB125" s="97"/>
      <c r="BC125" s="97"/>
      <c r="BD125" s="97"/>
      <c r="BE125" s="97"/>
      <c r="BF125" s="97">
        <f>SUM(BF5:BF99)</f>
        <v>128</v>
      </c>
      <c r="BG125" s="97"/>
      <c r="BH125" s="97"/>
      <c r="BI125" s="97"/>
      <c r="BJ125" s="97"/>
      <c r="BK125" s="97"/>
      <c r="BL125" s="97"/>
      <c r="BM125" s="97">
        <f>SUM(BM5:BM99)</f>
        <v>143.5</v>
      </c>
      <c r="BN125" s="97">
        <f>SUM(BN5:BN99)</f>
        <v>90.7</v>
      </c>
      <c r="BO125" s="97">
        <f>SUM(BO5:BO99)</f>
        <v>0</v>
      </c>
      <c r="BP125" s="97">
        <f>SUM(BP5:BP99)</f>
        <v>133</v>
      </c>
      <c r="BQ125" s="97"/>
      <c r="BR125" s="97">
        <f>SUM(BR5:BR99)</f>
        <v>127</v>
      </c>
      <c r="BS125" s="97"/>
      <c r="BT125" s="97">
        <f>SUM(BT5:BT99)</f>
        <v>0</v>
      </c>
      <c r="BU125" s="97"/>
      <c r="BV125" s="97"/>
      <c r="BW125" s="97"/>
      <c r="BX125" s="97">
        <f>SUM(BX5:BX99)</f>
        <v>149</v>
      </c>
      <c r="BY125" s="97"/>
      <c r="BZ125" s="97"/>
      <c r="CA125" s="97"/>
      <c r="CB125" s="97"/>
      <c r="CC125" s="97"/>
      <c r="CD125" s="97"/>
      <c r="CE125" s="97">
        <f>SUM(CE5:CE99)</f>
        <v>127</v>
      </c>
      <c r="CF125" s="97">
        <f>SUM(CF5:CF99)</f>
        <v>7.3999999999999995</v>
      </c>
      <c r="CG125" s="97"/>
      <c r="CH125" s="97"/>
      <c r="CI125" s="97">
        <f>SUM(CI5:CI99)</f>
        <v>127.2</v>
      </c>
      <c r="CJ125" s="97">
        <f>SUM(CJ5:CJ99)</f>
        <v>65.2</v>
      </c>
      <c r="CK125" s="98"/>
      <c r="CL125" s="97"/>
      <c r="CM125" s="97">
        <f>SUM(CM5:CM99)</f>
        <v>148.5</v>
      </c>
      <c r="CN125" s="97"/>
      <c r="CO125" s="97">
        <f>SUM(CO5:CO99)</f>
        <v>132</v>
      </c>
      <c r="CP125" s="97"/>
    </row>
    <row r="126" spans="1:116" x14ac:dyDescent="0.2">
      <c r="A126" s="312"/>
      <c r="B126" s="95"/>
      <c r="C126" s="94"/>
      <c r="D126" s="52"/>
      <c r="E126" s="53"/>
      <c r="F126" s="53"/>
      <c r="G126" s="53"/>
      <c r="H126" s="53"/>
      <c r="I126" s="54"/>
      <c r="J126" s="53"/>
      <c r="M126" s="11"/>
      <c r="N126" s="11"/>
      <c r="O126" s="11"/>
      <c r="P126" s="11"/>
      <c r="Q126" s="11"/>
      <c r="R126" s="11"/>
      <c r="S126" s="11"/>
      <c r="T126" s="11"/>
      <c r="U126" s="11"/>
      <c r="V126" s="11"/>
      <c r="W126" s="11"/>
      <c r="X126" s="11"/>
      <c r="Y126" s="11"/>
      <c r="Z126" s="11"/>
      <c r="AA126" s="11"/>
      <c r="AB126" s="11"/>
      <c r="AC126" s="96"/>
      <c r="AK126" s="97"/>
      <c r="AL126" s="97"/>
      <c r="AM126" s="97"/>
      <c r="AN126" s="97"/>
      <c r="AO126" s="97"/>
      <c r="AP126" s="97"/>
      <c r="AQ126" s="97"/>
      <c r="AR126" s="97"/>
      <c r="AS126" s="97"/>
      <c r="AT126" s="97"/>
      <c r="AU126" s="97"/>
      <c r="AV126" s="97"/>
      <c r="AW126" s="97"/>
      <c r="AX126" s="97"/>
      <c r="AY126" s="97"/>
      <c r="AZ126" s="97"/>
      <c r="BA126" s="97"/>
      <c r="BB126" s="97"/>
      <c r="BC126" s="97"/>
      <c r="BD126" s="97"/>
      <c r="BE126" s="97"/>
      <c r="BF126" s="97"/>
      <c r="BG126" s="97"/>
      <c r="BH126" s="97"/>
      <c r="BI126" s="97"/>
      <c r="BJ126" s="97"/>
      <c r="BK126" s="97"/>
      <c r="BL126" s="97"/>
      <c r="BM126" s="97"/>
      <c r="BN126" s="97"/>
      <c r="BO126" s="97"/>
      <c r="BP126" s="97"/>
      <c r="BQ126" s="97"/>
      <c r="BR126" s="97"/>
      <c r="BS126" s="97"/>
      <c r="BT126" s="97"/>
      <c r="BU126" s="97"/>
      <c r="BV126" s="97"/>
      <c r="BW126" s="97"/>
      <c r="BX126" s="97"/>
      <c r="BY126" s="97"/>
      <c r="BZ126" s="97"/>
      <c r="CA126" s="97"/>
      <c r="CB126" s="97"/>
      <c r="CC126" s="97"/>
      <c r="CD126" s="97"/>
      <c r="CE126" s="97"/>
      <c r="CF126" s="97"/>
      <c r="CG126" s="97"/>
      <c r="CH126" s="97"/>
      <c r="CI126" s="97"/>
      <c r="CJ126" s="97"/>
      <c r="CK126" s="98"/>
      <c r="CL126" s="97"/>
      <c r="CM126" s="97"/>
      <c r="CN126" s="97"/>
      <c r="CO126" s="97"/>
      <c r="CP126" s="97"/>
    </row>
    <row r="127" spans="1:116" x14ac:dyDescent="0.2">
      <c r="A127" s="312"/>
      <c r="B127" s="99"/>
      <c r="C127" s="100"/>
      <c r="D127" s="52"/>
      <c r="E127" s="53"/>
      <c r="F127" s="53"/>
      <c r="G127" s="53"/>
      <c r="H127" s="53"/>
      <c r="I127" s="54"/>
      <c r="J127" s="53"/>
      <c r="M127" s="11"/>
      <c r="N127" s="11"/>
      <c r="O127" s="11"/>
      <c r="P127" s="11"/>
      <c r="Q127" s="11"/>
      <c r="R127" s="11"/>
      <c r="S127" s="11"/>
      <c r="T127" s="11"/>
      <c r="U127" s="11"/>
      <c r="V127" s="11"/>
      <c r="W127" s="11"/>
      <c r="X127" s="11"/>
      <c r="Y127" s="11"/>
      <c r="Z127" s="11"/>
      <c r="AA127" s="11"/>
      <c r="AB127" s="11"/>
      <c r="AC127" s="96"/>
      <c r="AK127" s="97"/>
      <c r="AL127" s="97"/>
      <c r="AM127" s="97"/>
      <c r="AV127" s="85"/>
      <c r="AW127" s="85"/>
      <c r="AX127" s="85"/>
      <c r="AY127" s="85"/>
      <c r="AZ127" s="85"/>
      <c r="BA127" s="85"/>
      <c r="BG127" s="85"/>
      <c r="BH127" s="85"/>
      <c r="BI127" s="85"/>
      <c r="BJ127" s="85"/>
      <c r="BK127" s="85"/>
      <c r="BL127" s="85"/>
      <c r="BT127" s="86"/>
    </row>
    <row r="128" spans="1:116" x14ac:dyDescent="0.2">
      <c r="A128" s="312"/>
      <c r="B128" s="99"/>
      <c r="C128" s="100"/>
      <c r="D128" s="52"/>
      <c r="E128" s="53"/>
      <c r="F128" s="53"/>
      <c r="G128" s="53"/>
      <c r="H128" s="53"/>
      <c r="I128" s="54"/>
      <c r="J128" s="53"/>
      <c r="M128" s="11"/>
      <c r="N128" s="11"/>
      <c r="O128" s="11"/>
      <c r="P128" s="11"/>
      <c r="Q128" s="11"/>
      <c r="R128" s="11"/>
      <c r="S128" s="11"/>
      <c r="T128" s="11"/>
      <c r="U128" s="11"/>
      <c r="V128" s="11"/>
      <c r="W128" s="11"/>
      <c r="X128" s="11"/>
      <c r="Y128" s="11"/>
      <c r="Z128" s="11"/>
      <c r="AA128" s="11"/>
      <c r="AB128" s="11"/>
      <c r="AC128" s="96"/>
      <c r="AK128" s="97"/>
      <c r="AL128" s="97"/>
      <c r="AM128" s="97"/>
      <c r="AV128" s="85"/>
      <c r="AW128" s="85"/>
      <c r="AX128" s="85"/>
      <c r="AY128" s="85"/>
      <c r="AZ128" s="85"/>
      <c r="BA128" s="85"/>
      <c r="BG128" s="85"/>
      <c r="BH128" s="85"/>
      <c r="BI128" s="85"/>
      <c r="BJ128" s="85"/>
      <c r="BK128" s="85"/>
      <c r="BL128" s="85"/>
      <c r="BT128" s="86"/>
    </row>
    <row r="129" spans="1:72" x14ac:dyDescent="0.2">
      <c r="A129" s="312"/>
      <c r="B129" s="101"/>
      <c r="C129" s="102"/>
      <c r="D129" s="52"/>
      <c r="E129" s="53"/>
      <c r="F129" s="53"/>
      <c r="G129" s="53"/>
      <c r="H129" s="53"/>
      <c r="I129" s="54"/>
      <c r="J129" s="53"/>
      <c r="M129" s="11"/>
      <c r="N129" s="11"/>
      <c r="O129" s="11"/>
      <c r="P129" s="11"/>
      <c r="Q129" s="11"/>
      <c r="R129" s="11"/>
      <c r="S129" s="11"/>
      <c r="T129" s="11"/>
      <c r="U129" s="11"/>
      <c r="V129" s="11"/>
      <c r="W129" s="11"/>
      <c r="X129" s="11"/>
      <c r="Y129" s="11"/>
      <c r="Z129" s="11"/>
      <c r="AA129" s="11"/>
      <c r="AB129" s="11"/>
      <c r="AC129" s="96"/>
      <c r="AK129" s="97"/>
      <c r="AL129" s="97"/>
      <c r="AM129" s="97"/>
      <c r="AV129" s="85"/>
      <c r="AW129" s="85"/>
      <c r="AX129" s="85"/>
      <c r="AY129" s="85"/>
      <c r="AZ129" s="85"/>
      <c r="BA129" s="85"/>
      <c r="BG129" s="85"/>
      <c r="BH129" s="85"/>
      <c r="BI129" s="85"/>
      <c r="BJ129" s="85"/>
      <c r="BK129" s="85"/>
      <c r="BL129" s="85"/>
      <c r="BT129" s="86"/>
    </row>
    <row r="130" spans="1:72" x14ac:dyDescent="0.2">
      <c r="BT130" s="86"/>
    </row>
    <row r="131" spans="1:72" x14ac:dyDescent="0.2">
      <c r="M131" s="11"/>
      <c r="N131" s="11"/>
      <c r="O131" s="11"/>
      <c r="P131" s="11"/>
      <c r="Q131" s="11"/>
      <c r="R131" s="11"/>
      <c r="S131" s="11"/>
      <c r="T131" s="11"/>
      <c r="U131" s="11"/>
      <c r="V131" s="11"/>
      <c r="W131" s="11"/>
      <c r="X131" s="11"/>
      <c r="Y131" s="11"/>
      <c r="Z131" s="11"/>
      <c r="AA131" s="11"/>
      <c r="AB131" s="11"/>
      <c r="AC131" s="96"/>
      <c r="AK131" s="11"/>
      <c r="AL131" s="11"/>
      <c r="AM131" s="11"/>
      <c r="AN131" s="12"/>
      <c r="AO131" s="12"/>
      <c r="AP131" s="12"/>
      <c r="AQ131" s="12"/>
      <c r="AR131" s="12"/>
      <c r="AS131" s="12"/>
      <c r="AT131" s="12"/>
      <c r="BT131" s="86"/>
    </row>
    <row r="132" spans="1:72" ht="15" x14ac:dyDescent="0.25">
      <c r="B132" s="81"/>
      <c r="C132" s="82"/>
      <c r="BT132" s="86"/>
    </row>
    <row r="133" spans="1:72" x14ac:dyDescent="0.2">
      <c r="BT133" s="86"/>
    </row>
    <row r="134" spans="1:72" x14ac:dyDescent="0.2">
      <c r="BT134" s="86"/>
    </row>
    <row r="135" spans="1:72" x14ac:dyDescent="0.2">
      <c r="BT135" s="86"/>
    </row>
  </sheetData>
  <sheetProtection algorithmName="SHA-512" hashValue="X/gljFrdTOp+LFbyoVUZJXEo6cSKQFEE8K/v5fClLgu38TgmE7WZlUh+vJJ9RIHE2+luNCglBYtgCOtB6yd/Nw==" saltValue="WwWIWi3rokqGtMby0hRMfQ==" spinCount="100000" sheet="1" objects="1" scenarios="1" formatCells="0"/>
  <mergeCells count="1">
    <mergeCell ref="CF4:CG4"/>
  </mergeCells>
  <phoneticPr fontId="1" type="noConversion"/>
  <dataValidations count="2">
    <dataValidation type="list" allowBlank="1" showInputMessage="1" showErrorMessage="1" sqref="A100 A120:A124" xr:uid="{00000000-0002-0000-0100-000000000000}">
      <formula1>#REF!</formula1>
    </dataValidation>
    <dataValidation type="list" allowBlank="1" showInputMessage="1" showErrorMessage="1" sqref="A5:A14 A39:A73 A101:A118 A88:A99 A75:A86 A32:A37 A16:A30" xr:uid="{0B10534E-E6AB-428C-93EB-D4CC8033B8E5}">
      <formula1>$DK$3:$DK$5</formula1>
    </dataValidation>
  </dataValidations>
  <pageMargins left="0.25" right="0.25" top="0.5" bottom="0.5" header="0.3" footer="0.3"/>
  <pageSetup paperSize="3" fitToHeight="0" orientation="landscape" horizontalDpi="300" verticalDpi="300" r:id="rId1"/>
  <headerFooter>
    <oddHeader>&amp;LIndigo Water Group Course List 2025</oddHeader>
    <oddFooter>&amp;LCourses may be taken as often as desired. TUs or CEUs are only awarded the first time a course is completed in a calendar year.&amp;RUpdated on &amp;D</oddFooter>
  </headerFooter>
  <rowBreaks count="1" manualBreakCount="1">
    <brk id="123" max="16383" man="1"/>
  </rowBreaks>
  <colBreaks count="5" manualBreakCount="5">
    <brk id="45" max="1048575" man="1"/>
    <brk id="53" max="1048575" man="1"/>
    <brk id="66" max="1048575" man="1"/>
    <brk id="74" max="1048575" man="1"/>
    <brk id="88" max="1048575"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BCF2F9-90DD-4723-9745-6EDC993AE5CD}">
  <sheetPr codeName="Sheet9"/>
  <dimension ref="A1:AF421"/>
  <sheetViews>
    <sheetView zoomScaleNormal="100" zoomScaleSheetLayoutView="100" workbookViewId="0"/>
  </sheetViews>
  <sheetFormatPr defaultRowHeight="15" x14ac:dyDescent="0.25"/>
  <cols>
    <col min="1" max="1" width="11.85546875" customWidth="1"/>
    <col min="2" max="2" width="53.42578125" customWidth="1"/>
    <col min="3" max="3" width="12.5703125" customWidth="1"/>
    <col min="4" max="9" width="9.140625" style="1"/>
    <col min="10" max="22" width="9.140625" customWidth="1"/>
    <col min="24" max="24" width="16.28515625" customWidth="1"/>
    <col min="25" max="25" width="68.5703125" bestFit="1" customWidth="1"/>
    <col min="26" max="26" width="13.42578125" style="1" customWidth="1"/>
    <col min="27" max="32" width="9.140625" style="1" customWidth="1"/>
  </cols>
  <sheetData>
    <row r="1" spans="1:32" x14ac:dyDescent="0.25">
      <c r="A1" s="6" t="s">
        <v>2293</v>
      </c>
      <c r="I1" s="61">
        <f>D10*10*20*0.9</f>
        <v>99</v>
      </c>
      <c r="X1" s="72" t="s">
        <v>1956</v>
      </c>
      <c r="Y1" s="73" t="s">
        <v>249</v>
      </c>
      <c r="Z1" s="74" t="s">
        <v>1957</v>
      </c>
      <c r="AA1" s="74" t="s">
        <v>1284</v>
      </c>
      <c r="AB1" s="74" t="s">
        <v>22</v>
      </c>
      <c r="AC1" s="74" t="s">
        <v>23</v>
      </c>
      <c r="AD1" s="74" t="s">
        <v>26</v>
      </c>
      <c r="AE1" s="74" t="s">
        <v>25</v>
      </c>
      <c r="AF1" s="75" t="s">
        <v>24</v>
      </c>
    </row>
    <row r="2" spans="1:32" x14ac:dyDescent="0.25">
      <c r="A2" t="s">
        <v>1956</v>
      </c>
      <c r="B2" t="s">
        <v>249</v>
      </c>
      <c r="C2" t="s">
        <v>1958</v>
      </c>
      <c r="D2" s="1" t="s">
        <v>1284</v>
      </c>
      <c r="E2" s="1" t="s">
        <v>22</v>
      </c>
      <c r="F2" s="1" t="s">
        <v>23</v>
      </c>
      <c r="G2" s="1" t="s">
        <v>26</v>
      </c>
      <c r="H2" s="1" t="s">
        <v>25</v>
      </c>
      <c r="I2" s="1" t="s">
        <v>24</v>
      </c>
      <c r="X2" s="62" t="s">
        <v>52</v>
      </c>
      <c r="Y2" s="63" t="s">
        <v>0</v>
      </c>
      <c r="Z2" s="68" t="str">
        <f>'2025NewCourses'!AJ16</f>
        <v>25-06046-002</v>
      </c>
      <c r="AA2" s="68">
        <f>'2025NewCourses'!AN16</f>
        <v>0.2</v>
      </c>
      <c r="AB2" s="68">
        <f>'2025NewCourses'!AO16</f>
        <v>0.2</v>
      </c>
      <c r="AC2" s="68">
        <f>'2025NewCourses'!AP16</f>
        <v>0.2</v>
      </c>
      <c r="AD2" s="68">
        <f>'2025NewCourses'!AQ16</f>
        <v>0.2</v>
      </c>
      <c r="AE2" s="68">
        <f>'2025NewCourses'!AR16</f>
        <v>0.2</v>
      </c>
      <c r="AF2" s="69">
        <f>'2025NewCourses'!AS16</f>
        <v>0.2</v>
      </c>
    </row>
    <row r="3" spans="1:32" x14ac:dyDescent="0.25">
      <c r="A3" s="60" t="s">
        <v>180</v>
      </c>
      <c r="B3" t="str">
        <f t="shared" ref="B3:I9" si="0">LOOKUP($A3,$X:$X,Y:Y)</f>
        <v>Math Strategies for Success</v>
      </c>
      <c r="C3" t="str">
        <f t="shared" si="0"/>
        <v>25-05983-002</v>
      </c>
      <c r="D3" s="1">
        <f t="shared" si="0"/>
        <v>0.1</v>
      </c>
      <c r="E3" s="1">
        <f t="shared" si="0"/>
        <v>0.1</v>
      </c>
      <c r="F3" s="1">
        <f t="shared" si="0"/>
        <v>0.1</v>
      </c>
      <c r="G3" s="1">
        <f t="shared" si="0"/>
        <v>0.1</v>
      </c>
      <c r="H3" s="1">
        <f t="shared" si="0"/>
        <v>0.1</v>
      </c>
      <c r="I3" s="1">
        <f t="shared" si="0"/>
        <v>0.1</v>
      </c>
      <c r="X3" s="64" t="s">
        <v>53</v>
      </c>
      <c r="Y3" s="65" t="s">
        <v>37</v>
      </c>
      <c r="Z3" s="68" t="str">
        <f>'2025NewCourses'!AJ17</f>
        <v>25-05990-001</v>
      </c>
      <c r="AA3" s="68">
        <f>'2025NewCourses'!AN17</f>
        <v>0.15</v>
      </c>
      <c r="AB3" s="68">
        <f>'2025NewCourses'!AO17</f>
        <v>0.15</v>
      </c>
      <c r="AC3" s="68">
        <f>'2025NewCourses'!AP17</f>
        <v>0.15</v>
      </c>
      <c r="AD3" s="68">
        <f>'2025NewCourses'!AQ17</f>
        <v>0.15</v>
      </c>
      <c r="AE3" s="68">
        <f>'2025NewCourses'!AR17</f>
        <v>0.15</v>
      </c>
      <c r="AF3" s="69">
        <f>'2025NewCourses'!AS17</f>
        <v>0.15</v>
      </c>
    </row>
    <row r="4" spans="1:32" x14ac:dyDescent="0.25">
      <c r="A4" s="60" t="s">
        <v>50</v>
      </c>
      <c r="B4" t="str">
        <f t="shared" si="0"/>
        <v>Unit Conversions</v>
      </c>
      <c r="C4" t="str">
        <f t="shared" si="0"/>
        <v>25-05984-002</v>
      </c>
      <c r="D4" s="1">
        <f t="shared" si="0"/>
        <v>0.05</v>
      </c>
      <c r="E4" s="1">
        <f t="shared" si="0"/>
        <v>0.05</v>
      </c>
      <c r="F4" s="1">
        <f t="shared" si="0"/>
        <v>0.05</v>
      </c>
      <c r="G4" s="1">
        <f t="shared" si="0"/>
        <v>0.05</v>
      </c>
      <c r="H4" s="1">
        <f t="shared" si="0"/>
        <v>0.05</v>
      </c>
      <c r="I4" s="1">
        <f t="shared" si="0"/>
        <v>0.05</v>
      </c>
      <c r="X4" s="62" t="s">
        <v>54</v>
      </c>
      <c r="Y4" s="63" t="s">
        <v>1923</v>
      </c>
      <c r="Z4" s="68" t="str">
        <f>'2025NewCourses'!AJ18</f>
        <v>25-05991-001</v>
      </c>
      <c r="AA4" s="68">
        <f>'2025NewCourses'!AN18</f>
        <v>0.2</v>
      </c>
      <c r="AB4" s="68">
        <f>'2025NewCourses'!AO18</f>
        <v>0.2</v>
      </c>
      <c r="AC4" s="68">
        <f>'2025NewCourses'!AP18</f>
        <v>0.2</v>
      </c>
      <c r="AD4" s="68">
        <f>'2025NewCourses'!AQ18</f>
        <v>0.2</v>
      </c>
      <c r="AE4" s="68">
        <f>'2025NewCourses'!AR18</f>
        <v>0.2</v>
      </c>
      <c r="AF4" s="69">
        <f>'2025NewCourses'!AS18</f>
        <v>0.2</v>
      </c>
    </row>
    <row r="5" spans="1:32" x14ac:dyDescent="0.25">
      <c r="A5" s="60" t="s">
        <v>51</v>
      </c>
      <c r="B5" t="str">
        <f t="shared" si="0"/>
        <v>Geometry</v>
      </c>
      <c r="C5" t="str">
        <f t="shared" si="0"/>
        <v>25-05985-002</v>
      </c>
      <c r="D5" s="1">
        <f t="shared" si="0"/>
        <v>0.05</v>
      </c>
      <c r="E5" s="1">
        <f t="shared" si="0"/>
        <v>0.05</v>
      </c>
      <c r="F5" s="1">
        <f t="shared" si="0"/>
        <v>0.05</v>
      </c>
      <c r="G5" s="1">
        <f t="shared" si="0"/>
        <v>0.05</v>
      </c>
      <c r="H5" s="1">
        <f t="shared" si="0"/>
        <v>0.05</v>
      </c>
      <c r="I5" s="1">
        <f t="shared" si="0"/>
        <v>0.05</v>
      </c>
      <c r="X5" s="62" t="s">
        <v>55</v>
      </c>
      <c r="Y5" s="63" t="s">
        <v>1471</v>
      </c>
      <c r="Z5" s="68" t="str">
        <f>'2025NewCourses'!AJ19</f>
        <v>25-09505-001</v>
      </c>
      <c r="AA5" s="68">
        <f>'2025NewCourses'!AN19</f>
        <v>0.15</v>
      </c>
      <c r="AB5" s="68">
        <f>'2025NewCourses'!AO19</f>
        <v>0.15</v>
      </c>
      <c r="AC5" s="68">
        <f>'2025NewCourses'!AP19</f>
        <v>0.15</v>
      </c>
      <c r="AD5" s="68">
        <f>'2025NewCourses'!AQ19</f>
        <v>0.15</v>
      </c>
      <c r="AE5" s="68">
        <f>'2025NewCourses'!AR19</f>
        <v>0</v>
      </c>
      <c r="AF5" s="69">
        <f>'2025NewCourses'!AS19</f>
        <v>0</v>
      </c>
    </row>
    <row r="6" spans="1:32" x14ac:dyDescent="0.25">
      <c r="A6" s="60" t="s">
        <v>205</v>
      </c>
      <c r="B6" t="str">
        <f t="shared" si="0"/>
        <v>Chemical Dosing</v>
      </c>
      <c r="C6" t="str">
        <f t="shared" si="0"/>
        <v>25-05986-002</v>
      </c>
      <c r="D6" s="1">
        <f t="shared" si="0"/>
        <v>0.05</v>
      </c>
      <c r="E6" s="1">
        <f t="shared" si="0"/>
        <v>0.05</v>
      </c>
      <c r="F6" s="1">
        <f t="shared" si="0"/>
        <v>0.05</v>
      </c>
      <c r="G6" s="1">
        <f t="shared" si="0"/>
        <v>0.05</v>
      </c>
      <c r="H6" s="1">
        <f t="shared" si="0"/>
        <v>0.05</v>
      </c>
      <c r="I6" s="1">
        <f t="shared" si="0"/>
        <v>0.05</v>
      </c>
      <c r="X6" s="64" t="s">
        <v>56</v>
      </c>
      <c r="Y6" s="63" t="s">
        <v>3</v>
      </c>
      <c r="Z6" s="68" t="str">
        <f>'2025NewCourses'!AJ20</f>
        <v>25-05992-001</v>
      </c>
      <c r="AA6" s="68">
        <f>'2025NewCourses'!AN20</f>
        <v>0.25</v>
      </c>
      <c r="AB6" s="68">
        <f>'2025NewCourses'!AO20</f>
        <v>0.25</v>
      </c>
      <c r="AC6" s="68">
        <f>'2025NewCourses'!AP20</f>
        <v>0.25</v>
      </c>
      <c r="AD6" s="68">
        <f>'2025NewCourses'!AQ20</f>
        <v>0.25</v>
      </c>
      <c r="AE6" s="68">
        <f>'2025NewCourses'!AR20</f>
        <v>0.25</v>
      </c>
      <c r="AF6" s="69">
        <f>'2025NewCourses'!AS20</f>
        <v>0.25</v>
      </c>
    </row>
    <row r="7" spans="1:32" x14ac:dyDescent="0.25">
      <c r="A7" s="60" t="s">
        <v>201</v>
      </c>
      <c r="B7" t="str">
        <f t="shared" si="0"/>
        <v>Velocity and Hydraulic Detention Time</v>
      </c>
      <c r="C7" t="str">
        <f t="shared" si="0"/>
        <v>25-05987-001</v>
      </c>
      <c r="D7" s="1">
        <f t="shared" si="0"/>
        <v>0.1</v>
      </c>
      <c r="E7" s="1">
        <f t="shared" si="0"/>
        <v>0.1</v>
      </c>
      <c r="F7" s="1">
        <f t="shared" si="0"/>
        <v>0.1</v>
      </c>
      <c r="G7" s="1">
        <f t="shared" si="0"/>
        <v>0.1</v>
      </c>
      <c r="H7" s="1">
        <f t="shared" si="0"/>
        <v>0.1</v>
      </c>
      <c r="I7" s="1">
        <f t="shared" si="0"/>
        <v>0.1</v>
      </c>
      <c r="X7" s="62" t="s">
        <v>489</v>
      </c>
      <c r="Y7" s="63" t="s">
        <v>151</v>
      </c>
      <c r="Z7" s="68" t="str">
        <f>'2025NewCourses'!AJ21</f>
        <v>25-05993-001</v>
      </c>
      <c r="AA7" s="68">
        <f>'2025NewCourses'!AN21</f>
        <v>0.15</v>
      </c>
      <c r="AB7" s="68">
        <f>'2025NewCourses'!AO21</f>
        <v>0.15</v>
      </c>
      <c r="AC7" s="68">
        <f>'2025NewCourses'!AP21</f>
        <v>0.15</v>
      </c>
      <c r="AD7" s="68">
        <f>'2025NewCourses'!AQ21</f>
        <v>0.15</v>
      </c>
      <c r="AE7" s="68">
        <f>'2025NewCourses'!AR21</f>
        <v>0.15</v>
      </c>
      <c r="AF7" s="69">
        <f>'2025NewCourses'!AS21</f>
        <v>0.15</v>
      </c>
    </row>
    <row r="8" spans="1:32" x14ac:dyDescent="0.25">
      <c r="A8" s="60" t="s">
        <v>203</v>
      </c>
      <c r="B8" t="str">
        <f t="shared" si="0"/>
        <v>Geometry and Velocity</v>
      </c>
      <c r="C8" t="str">
        <f t="shared" si="0"/>
        <v>25-05988-001</v>
      </c>
      <c r="D8" s="1">
        <f t="shared" si="0"/>
        <v>0.15</v>
      </c>
      <c r="E8" s="1">
        <f t="shared" si="0"/>
        <v>0.15</v>
      </c>
      <c r="F8" s="1">
        <f t="shared" si="0"/>
        <v>0.15</v>
      </c>
      <c r="G8" s="1">
        <f t="shared" si="0"/>
        <v>0.15</v>
      </c>
      <c r="H8" s="1">
        <f t="shared" si="0"/>
        <v>0.15</v>
      </c>
      <c r="I8" s="1">
        <f t="shared" si="0"/>
        <v>0.15</v>
      </c>
      <c r="X8" s="62" t="s">
        <v>107</v>
      </c>
      <c r="Y8" s="63" t="s">
        <v>47</v>
      </c>
      <c r="Z8" s="68" t="str">
        <f>'2025NewCourses'!AJ22</f>
        <v>25-05994-001</v>
      </c>
      <c r="AA8" s="68">
        <f>'2025NewCourses'!AN22</f>
        <v>0.15</v>
      </c>
      <c r="AB8" s="68">
        <f>'2025NewCourses'!AO22</f>
        <v>0.15</v>
      </c>
      <c r="AC8" s="68">
        <f>'2025NewCourses'!AP22</f>
        <v>0.15</v>
      </c>
      <c r="AD8" s="68">
        <f>'2025NewCourses'!AQ22</f>
        <v>0.15</v>
      </c>
      <c r="AE8" s="68">
        <f>'2025NewCourses'!AR22</f>
        <v>0.15</v>
      </c>
      <c r="AF8" s="69">
        <f>'2025NewCourses'!AS22</f>
        <v>0.15</v>
      </c>
    </row>
    <row r="9" spans="1:32" x14ac:dyDescent="0.25">
      <c r="A9" s="60" t="s">
        <v>260</v>
      </c>
      <c r="B9" t="str">
        <f t="shared" si="0"/>
        <v>Using the Two-Normal and Three-Normal Equations</v>
      </c>
      <c r="C9" t="str">
        <f t="shared" si="0"/>
        <v>25-06672-001</v>
      </c>
      <c r="D9" s="1">
        <f t="shared" si="0"/>
        <v>0.05</v>
      </c>
      <c r="E9" s="1">
        <f t="shared" si="0"/>
        <v>0.05</v>
      </c>
      <c r="F9" s="1">
        <f t="shared" si="0"/>
        <v>0.05</v>
      </c>
      <c r="G9" s="1">
        <f t="shared" si="0"/>
        <v>0.05</v>
      </c>
      <c r="H9" s="1">
        <f t="shared" si="0"/>
        <v>0.05</v>
      </c>
      <c r="I9" s="1">
        <f t="shared" si="0"/>
        <v>0.05</v>
      </c>
      <c r="X9" s="62" t="s">
        <v>108</v>
      </c>
      <c r="Y9" s="66" t="s">
        <v>104</v>
      </c>
      <c r="Z9" s="68" t="str">
        <f>'2025NewCourses'!AJ23</f>
        <v>25-05995-002</v>
      </c>
      <c r="AA9" s="68">
        <f>'2025NewCourses'!AN23</f>
        <v>0.15</v>
      </c>
      <c r="AB9" s="68">
        <f>'2025NewCourses'!AO23</f>
        <v>0.15</v>
      </c>
      <c r="AC9" s="68">
        <f>'2025NewCourses'!AP23</f>
        <v>0.15</v>
      </c>
      <c r="AD9" s="68">
        <f>'2025NewCourses'!AQ23</f>
        <v>0.15</v>
      </c>
      <c r="AE9" s="68">
        <f>'2025NewCourses'!AR23</f>
        <v>0.15</v>
      </c>
      <c r="AF9" s="69">
        <f>'2025NewCourses'!AS23</f>
        <v>0.15</v>
      </c>
    </row>
    <row r="10" spans="1:32" x14ac:dyDescent="0.25">
      <c r="A10" t="s">
        <v>287</v>
      </c>
      <c r="D10" s="1">
        <f>SUM(Table3[Max])</f>
        <v>0.55000000000000004</v>
      </c>
      <c r="E10" s="1">
        <f>SUM(Table3[W])</f>
        <v>0.55000000000000004</v>
      </c>
      <c r="F10" s="1">
        <f>SUM(Table3[WW])</f>
        <v>0.55000000000000004</v>
      </c>
      <c r="G10" s="1">
        <f>SUM(Table3[I])</f>
        <v>0.55000000000000004</v>
      </c>
      <c r="H10" s="1">
        <f>SUM(Table3[D])</f>
        <v>0.55000000000000004</v>
      </c>
      <c r="I10" s="1">
        <f>SUM(Table3[C])</f>
        <v>0.55000000000000004</v>
      </c>
      <c r="X10" s="62" t="s">
        <v>490</v>
      </c>
      <c r="Y10" s="66" t="s">
        <v>105</v>
      </c>
      <c r="Z10" s="68" t="str">
        <f>'2025NewCourses'!AJ24</f>
        <v>25-05996-001</v>
      </c>
      <c r="AA10" s="68">
        <f>'2025NewCourses'!AN24</f>
        <v>0.15</v>
      </c>
      <c r="AB10" s="68">
        <f>'2025NewCourses'!AO24</f>
        <v>0.15</v>
      </c>
      <c r="AC10" s="68">
        <f>'2025NewCourses'!AP24</f>
        <v>0</v>
      </c>
      <c r="AD10" s="68">
        <f>'2025NewCourses'!AQ24</f>
        <v>0</v>
      </c>
      <c r="AE10" s="68">
        <f>'2025NewCourses'!AR24</f>
        <v>0.15</v>
      </c>
      <c r="AF10" s="69">
        <f>'2025NewCourses'!AS24</f>
        <v>0</v>
      </c>
    </row>
    <row r="11" spans="1:32" x14ac:dyDescent="0.25">
      <c r="X11" s="62" t="s">
        <v>491</v>
      </c>
      <c r="Y11" s="63" t="s">
        <v>949</v>
      </c>
      <c r="Z11" s="68">
        <f>'2025NewCourses'!AJ25</f>
        <v>0</v>
      </c>
      <c r="AA11" s="68">
        <f>'2025NewCourses'!AN25</f>
        <v>0</v>
      </c>
      <c r="AB11" s="68">
        <f>'2025NewCourses'!AO25</f>
        <v>0</v>
      </c>
      <c r="AC11" s="68">
        <f>'2025NewCourses'!AP25</f>
        <v>0</v>
      </c>
      <c r="AD11" s="68">
        <f>'2025NewCourses'!AQ25</f>
        <v>0</v>
      </c>
      <c r="AE11" s="68">
        <f>'2025NewCourses'!AR25</f>
        <v>0</v>
      </c>
      <c r="AF11" s="69">
        <f>'2025NewCourses'!AS25</f>
        <v>0</v>
      </c>
    </row>
    <row r="12" spans="1:32" x14ac:dyDescent="0.25">
      <c r="A12" s="6" t="s">
        <v>2294</v>
      </c>
      <c r="I12" s="61">
        <f>D17*10*20*0.9</f>
        <v>108.00000000000001</v>
      </c>
      <c r="X12" s="62" t="s">
        <v>1056</v>
      </c>
      <c r="Y12" s="63" t="s">
        <v>1057</v>
      </c>
      <c r="Z12" s="68" t="str">
        <f>'2025NewCourses'!AJ26</f>
        <v>25-08959-001</v>
      </c>
      <c r="AA12" s="68">
        <f>'2025NewCourses'!AN26</f>
        <v>0.05</v>
      </c>
      <c r="AB12" s="68">
        <f>'2025NewCourses'!AO26</f>
        <v>0.05</v>
      </c>
      <c r="AC12" s="68">
        <f>'2025NewCourses'!AP26</f>
        <v>0.05</v>
      </c>
      <c r="AD12" s="68">
        <f>'2025NewCourses'!AQ26</f>
        <v>0.05</v>
      </c>
      <c r="AE12" s="68">
        <f>'2025NewCourses'!AR26</f>
        <v>0.05</v>
      </c>
      <c r="AF12" s="69">
        <f>'2025NewCourses'!AS26</f>
        <v>0.05</v>
      </c>
    </row>
    <row r="13" spans="1:32" x14ac:dyDescent="0.25">
      <c r="A13" t="s">
        <v>1956</v>
      </c>
      <c r="B13" t="s">
        <v>249</v>
      </c>
      <c r="C13" t="s">
        <v>1958</v>
      </c>
      <c r="D13" s="1" t="s">
        <v>1284</v>
      </c>
      <c r="E13" s="1" t="s">
        <v>22</v>
      </c>
      <c r="F13" s="1" t="s">
        <v>23</v>
      </c>
      <c r="G13" s="1" t="s">
        <v>26</v>
      </c>
      <c r="H13" s="1" t="s">
        <v>25</v>
      </c>
      <c r="I13" s="1" t="s">
        <v>1963</v>
      </c>
      <c r="X13" s="62" t="s">
        <v>57</v>
      </c>
      <c r="Y13" s="63" t="s">
        <v>14</v>
      </c>
      <c r="Z13" s="68" t="str">
        <f>'2025NewCourses'!AJ32</f>
        <v>25-06000-002</v>
      </c>
      <c r="AA13" s="68">
        <f>'2025NewCourses'!AN32</f>
        <v>0.15</v>
      </c>
      <c r="AB13" s="68">
        <f>'2025NewCourses'!AO32</f>
        <v>0</v>
      </c>
      <c r="AC13" s="68">
        <f>'2025NewCourses'!AP32</f>
        <v>0</v>
      </c>
      <c r="AD13" s="68">
        <f>'2025NewCourses'!AQ32</f>
        <v>0</v>
      </c>
      <c r="AE13" s="68">
        <f>'2025NewCourses'!AR32</f>
        <v>0</v>
      </c>
      <c r="AF13" s="69">
        <f>'2025NewCourses'!AS32</f>
        <v>0.15</v>
      </c>
    </row>
    <row r="14" spans="1:32" x14ac:dyDescent="0.25">
      <c r="A14" s="60" t="s">
        <v>1715</v>
      </c>
      <c r="B14" t="str">
        <f t="shared" ref="B14:I16" si="1">LOOKUP($A14,$X:$X,Y:Y)</f>
        <v>Advanced Activated Sludge and Clarifier Math</v>
      </c>
      <c r="C14" t="str">
        <f t="shared" si="1"/>
        <v>25-10564-001</v>
      </c>
      <c r="D14" s="1">
        <f t="shared" si="1"/>
        <v>0.2</v>
      </c>
      <c r="E14" s="1">
        <f t="shared" si="1"/>
        <v>0</v>
      </c>
      <c r="F14" s="1">
        <f t="shared" si="1"/>
        <v>0.2</v>
      </c>
      <c r="G14" s="1">
        <f t="shared" si="1"/>
        <v>0.2</v>
      </c>
      <c r="H14" s="1">
        <f t="shared" si="1"/>
        <v>0</v>
      </c>
      <c r="I14" s="1">
        <f t="shared" si="1"/>
        <v>0</v>
      </c>
      <c r="X14" s="62" t="s">
        <v>58</v>
      </c>
      <c r="Y14" s="63" t="s">
        <v>16</v>
      </c>
      <c r="Z14" s="68" t="str">
        <f>'2025NewCourses'!AJ33</f>
        <v>25-06001-002</v>
      </c>
      <c r="AA14" s="68">
        <f>'2025NewCourses'!AN33</f>
        <v>0.25</v>
      </c>
      <c r="AB14" s="68">
        <f>'2025NewCourses'!AO33</f>
        <v>0</v>
      </c>
      <c r="AC14" s="68">
        <f>'2025NewCourses'!AP33</f>
        <v>0</v>
      </c>
      <c r="AD14" s="68">
        <f>'2025NewCourses'!AQ33</f>
        <v>0</v>
      </c>
      <c r="AE14" s="68">
        <f>'2025NewCourses'!AR33</f>
        <v>0</v>
      </c>
      <c r="AF14" s="69">
        <f>'2025NewCourses'!AS33</f>
        <v>0.25</v>
      </c>
    </row>
    <row r="15" spans="1:32" x14ac:dyDescent="0.25">
      <c r="A15" s="60" t="s">
        <v>1716</v>
      </c>
      <c r="B15" t="str">
        <f t="shared" si="1"/>
        <v>Advanced Anaerobic Digester and Solids Math</v>
      </c>
      <c r="C15" t="str">
        <f t="shared" si="1"/>
        <v>25-10565-001</v>
      </c>
      <c r="D15" s="1">
        <f t="shared" si="1"/>
        <v>0.2</v>
      </c>
      <c r="E15" s="1">
        <f t="shared" si="1"/>
        <v>0</v>
      </c>
      <c r="F15" s="1">
        <f t="shared" si="1"/>
        <v>0.2</v>
      </c>
      <c r="G15" s="1">
        <f t="shared" si="1"/>
        <v>0.2</v>
      </c>
      <c r="H15" s="1">
        <f t="shared" si="1"/>
        <v>0</v>
      </c>
      <c r="I15" s="1">
        <f t="shared" si="1"/>
        <v>0</v>
      </c>
      <c r="X15" s="62" t="s">
        <v>59</v>
      </c>
      <c r="Y15" s="63" t="s">
        <v>17</v>
      </c>
      <c r="Z15" s="68" t="str">
        <f>'2025NewCourses'!AJ34</f>
        <v>25-06002-002</v>
      </c>
      <c r="AA15" s="68">
        <f>'2025NewCourses'!AN34</f>
        <v>0.25</v>
      </c>
      <c r="AB15" s="68">
        <f>'2025NewCourses'!AO34</f>
        <v>0</v>
      </c>
      <c r="AC15" s="68">
        <f>'2025NewCourses'!AP34</f>
        <v>0</v>
      </c>
      <c r="AD15" s="68">
        <f>'2025NewCourses'!AQ34</f>
        <v>0</v>
      </c>
      <c r="AE15" s="68">
        <f>'2025NewCourses'!AR34</f>
        <v>0</v>
      </c>
      <c r="AF15" s="69">
        <f>'2025NewCourses'!AS34</f>
        <v>0.25</v>
      </c>
    </row>
    <row r="16" spans="1:32" x14ac:dyDescent="0.25">
      <c r="A16" s="60" t="s">
        <v>1717</v>
      </c>
      <c r="B16" t="str">
        <f t="shared" si="1"/>
        <v>Advanced Wastewater Math Grab Bag</v>
      </c>
      <c r="C16" t="str">
        <f t="shared" si="1"/>
        <v>25-10566-001</v>
      </c>
      <c r="D16" s="1">
        <f t="shared" si="1"/>
        <v>0.2</v>
      </c>
      <c r="E16" s="1">
        <f t="shared" si="1"/>
        <v>0</v>
      </c>
      <c r="F16" s="1">
        <f t="shared" si="1"/>
        <v>0.2</v>
      </c>
      <c r="G16" s="1">
        <f t="shared" si="1"/>
        <v>0.2</v>
      </c>
      <c r="H16" s="1">
        <f t="shared" si="1"/>
        <v>0</v>
      </c>
      <c r="I16" s="1">
        <f t="shared" si="1"/>
        <v>0</v>
      </c>
      <c r="X16" s="62" t="s">
        <v>60</v>
      </c>
      <c r="Y16" s="63" t="s">
        <v>1</v>
      </c>
      <c r="Z16" s="68" t="str">
        <f>'2025NewCourses'!AJ35</f>
        <v>25-06003-001</v>
      </c>
      <c r="AA16" s="68">
        <f>'2025NewCourses'!AN35</f>
        <v>0.2</v>
      </c>
      <c r="AB16" s="68">
        <f>'2025NewCourses'!AO35</f>
        <v>0</v>
      </c>
      <c r="AC16" s="68">
        <f>'2025NewCourses'!AP35</f>
        <v>0.2</v>
      </c>
      <c r="AD16" s="68">
        <f>'2025NewCourses'!AQ35</f>
        <v>0.2</v>
      </c>
      <c r="AE16" s="68">
        <f>'2025NewCourses'!AR35</f>
        <v>0</v>
      </c>
      <c r="AF16" s="69">
        <f>'2025NewCourses'!AS35</f>
        <v>0.2</v>
      </c>
    </row>
    <row r="17" spans="1:32" x14ac:dyDescent="0.25">
      <c r="A17" s="60" t="s">
        <v>287</v>
      </c>
      <c r="D17" s="1">
        <f>SUM(D14:D16)</f>
        <v>0.60000000000000009</v>
      </c>
      <c r="E17" s="1">
        <f t="shared" ref="E17:I17" si="2">SUM(E14:E16)</f>
        <v>0</v>
      </c>
      <c r="F17" s="1">
        <f t="shared" si="2"/>
        <v>0.60000000000000009</v>
      </c>
      <c r="G17" s="1">
        <f t="shared" si="2"/>
        <v>0.60000000000000009</v>
      </c>
      <c r="H17" s="1">
        <f t="shared" si="2"/>
        <v>0</v>
      </c>
      <c r="I17" s="1">
        <f t="shared" si="2"/>
        <v>0</v>
      </c>
      <c r="X17" s="62" t="s">
        <v>61</v>
      </c>
      <c r="Y17" s="63" t="s">
        <v>13</v>
      </c>
      <c r="Z17" s="68" t="str">
        <f>'2025NewCourses'!AJ36</f>
        <v>25-06004-001</v>
      </c>
      <c r="AA17" s="68">
        <f>'2025NewCourses'!AN36</f>
        <v>0.3</v>
      </c>
      <c r="AB17" s="68">
        <f>'2025NewCourses'!AO36</f>
        <v>0.3</v>
      </c>
      <c r="AC17" s="68">
        <f>'2025NewCourses'!AP36</f>
        <v>0.3</v>
      </c>
      <c r="AD17" s="68">
        <f>'2025NewCourses'!AQ36</f>
        <v>0.3</v>
      </c>
      <c r="AE17" s="68">
        <f>'2025NewCourses'!AR36</f>
        <v>0</v>
      </c>
      <c r="AF17" s="69">
        <f>'2025NewCourses'!AS36</f>
        <v>0</v>
      </c>
    </row>
    <row r="18" spans="1:32" x14ac:dyDescent="0.25">
      <c r="X18" s="62" t="s">
        <v>175</v>
      </c>
      <c r="Y18" s="63" t="s">
        <v>173</v>
      </c>
      <c r="Z18" s="68" t="str">
        <f>'2025NewCourses'!AJ37</f>
        <v>25-06005-001</v>
      </c>
      <c r="AA18" s="68">
        <f>'2025NewCourses'!AN37</f>
        <v>0.1</v>
      </c>
      <c r="AB18" s="68">
        <f>'2025NewCourses'!AO37</f>
        <v>0</v>
      </c>
      <c r="AC18" s="68">
        <f>'2025NewCourses'!AP37</f>
        <v>0</v>
      </c>
      <c r="AD18" s="68">
        <f>'2025NewCourses'!AQ37</f>
        <v>0</v>
      </c>
      <c r="AE18" s="68">
        <f>'2025NewCourses'!AR37</f>
        <v>0</v>
      </c>
      <c r="AF18" s="69">
        <f>'2025NewCourses'!AS37</f>
        <v>0.1</v>
      </c>
    </row>
    <row r="19" spans="1:32" x14ac:dyDescent="0.25">
      <c r="A19" s="6" t="s">
        <v>2295</v>
      </c>
      <c r="I19" s="61">
        <f>D26*10*20*0.9</f>
        <v>153</v>
      </c>
      <c r="X19" s="62" t="s">
        <v>494</v>
      </c>
      <c r="Y19" s="63" t="s">
        <v>21</v>
      </c>
      <c r="Z19" s="68" t="str">
        <f>'2025NewCourses'!AJ88</f>
        <v>25-05997-001</v>
      </c>
      <c r="AA19" s="68">
        <f>'2025NewCourses'!AN88</f>
        <v>0.25</v>
      </c>
      <c r="AB19" s="68">
        <f>'2025NewCourses'!AO88</f>
        <v>0.25</v>
      </c>
      <c r="AC19" s="68">
        <f>'2025NewCourses'!AP88</f>
        <v>0.25</v>
      </c>
      <c r="AD19" s="68">
        <f>'2025NewCourses'!AQ88</f>
        <v>0.25</v>
      </c>
      <c r="AE19" s="68">
        <f>'2025NewCourses'!AR88</f>
        <v>0.25</v>
      </c>
      <c r="AF19" s="69">
        <f>'2025NewCourses'!AS88</f>
        <v>0.25</v>
      </c>
    </row>
    <row r="20" spans="1:32" x14ac:dyDescent="0.25">
      <c r="A20" t="s">
        <v>1956</v>
      </c>
      <c r="B20" t="s">
        <v>249</v>
      </c>
      <c r="C20" t="s">
        <v>1958</v>
      </c>
      <c r="D20" s="1" t="s">
        <v>1284</v>
      </c>
      <c r="E20" s="1" t="s">
        <v>22</v>
      </c>
      <c r="F20" s="1" t="s">
        <v>23</v>
      </c>
      <c r="G20" s="1" t="s">
        <v>26</v>
      </c>
      <c r="H20" s="1" t="s">
        <v>25</v>
      </c>
      <c r="I20" s="1" t="s">
        <v>24</v>
      </c>
      <c r="X20" s="62" t="s">
        <v>495</v>
      </c>
      <c r="Y20" s="63" t="s">
        <v>485</v>
      </c>
      <c r="Z20" s="68" t="str">
        <f>'2025NewCourses'!AJ89</f>
        <v>25-07704-001</v>
      </c>
      <c r="AA20" s="68">
        <f>'2025NewCourses'!AN89</f>
        <v>0.2</v>
      </c>
      <c r="AB20" s="68">
        <f>'2025NewCourses'!AO89</f>
        <v>0.2</v>
      </c>
      <c r="AC20" s="68">
        <f>'2025NewCourses'!AP89</f>
        <v>0.2</v>
      </c>
      <c r="AD20" s="68">
        <f>'2025NewCourses'!AQ89</f>
        <v>0.2</v>
      </c>
      <c r="AE20" s="68">
        <f>'2025NewCourses'!AR89</f>
        <v>0.2</v>
      </c>
      <c r="AF20" s="69">
        <f>'2025NewCourses'!AS89</f>
        <v>0.05</v>
      </c>
    </row>
    <row r="21" spans="1:32" x14ac:dyDescent="0.25">
      <c r="A21" s="60" t="s">
        <v>53</v>
      </c>
      <c r="B21" t="str">
        <f t="shared" ref="B21:I25" si="3">LOOKUP($A21,$X:$X,Y:Y)</f>
        <v>Hydraulics Basics</v>
      </c>
      <c r="C21" t="str">
        <f t="shared" si="3"/>
        <v>25-05990-001</v>
      </c>
      <c r="D21" s="1">
        <f t="shared" si="3"/>
        <v>0.15</v>
      </c>
      <c r="E21" s="1">
        <f t="shared" si="3"/>
        <v>0.15</v>
      </c>
      <c r="F21" s="1">
        <f t="shared" si="3"/>
        <v>0.15</v>
      </c>
      <c r="G21" s="1">
        <f t="shared" si="3"/>
        <v>0.15</v>
      </c>
      <c r="H21" s="1">
        <f t="shared" si="3"/>
        <v>0.15</v>
      </c>
      <c r="I21" s="1">
        <f t="shared" si="3"/>
        <v>0.15</v>
      </c>
      <c r="X21" s="62" t="s">
        <v>496</v>
      </c>
      <c r="Y21" s="63" t="s">
        <v>1389</v>
      </c>
      <c r="Z21" s="68" t="str">
        <f>'2025NewCourses'!AJ90</f>
        <v>25-07745-001</v>
      </c>
      <c r="AA21" s="68">
        <f>'2025NewCourses'!AN90</f>
        <v>0.2</v>
      </c>
      <c r="AB21" s="68">
        <f>'2025NewCourses'!AO90</f>
        <v>0.2</v>
      </c>
      <c r="AC21" s="68">
        <f>'2025NewCourses'!AP90</f>
        <v>0.2</v>
      </c>
      <c r="AD21" s="68">
        <f>'2025NewCourses'!AQ90</f>
        <v>0.2</v>
      </c>
      <c r="AE21" s="68">
        <f>'2025NewCourses'!AR90</f>
        <v>0.2</v>
      </c>
      <c r="AF21" s="69">
        <f>'2025NewCourses'!AS90</f>
        <v>0</v>
      </c>
    </row>
    <row r="22" spans="1:32" x14ac:dyDescent="0.25">
      <c r="A22" s="60" t="s">
        <v>489</v>
      </c>
      <c r="B22" t="str">
        <f t="shared" si="3"/>
        <v>Maintenance</v>
      </c>
      <c r="C22" t="str">
        <f t="shared" si="3"/>
        <v>25-05993-001</v>
      </c>
      <c r="D22" s="1">
        <f t="shared" si="3"/>
        <v>0.15</v>
      </c>
      <c r="E22" s="1">
        <f t="shared" si="3"/>
        <v>0.15</v>
      </c>
      <c r="F22" s="1">
        <f t="shared" si="3"/>
        <v>0.15</v>
      </c>
      <c r="G22" s="1">
        <f t="shared" si="3"/>
        <v>0.15</v>
      </c>
      <c r="H22" s="1">
        <f t="shared" si="3"/>
        <v>0.15</v>
      </c>
      <c r="I22" s="1">
        <f t="shared" si="3"/>
        <v>0.15</v>
      </c>
      <c r="X22" s="62" t="s">
        <v>497</v>
      </c>
      <c r="Y22" s="63" t="s">
        <v>487</v>
      </c>
      <c r="Z22" s="68" t="str">
        <f>'2025NewCourses'!AJ91</f>
        <v>25-06028-001</v>
      </c>
      <c r="AA22" s="68">
        <f>'2025NewCourses'!AN91</f>
        <v>0.1</v>
      </c>
      <c r="AB22" s="68">
        <f>'2025NewCourses'!AO91</f>
        <v>0.1</v>
      </c>
      <c r="AC22" s="68">
        <f>'2025NewCourses'!AP91</f>
        <v>0.1</v>
      </c>
      <c r="AD22" s="68">
        <f>'2025NewCourses'!AQ91</f>
        <v>0.1</v>
      </c>
      <c r="AE22" s="68">
        <f>'2025NewCourses'!AR91</f>
        <v>0</v>
      </c>
      <c r="AF22" s="69">
        <f>'2025NewCourses'!AS91</f>
        <v>0</v>
      </c>
    </row>
    <row r="23" spans="1:32" x14ac:dyDescent="0.25">
      <c r="A23" s="60" t="s">
        <v>107</v>
      </c>
      <c r="B23" t="str">
        <f t="shared" si="3"/>
        <v>Electrical Fundamentals</v>
      </c>
      <c r="C23" t="str">
        <f t="shared" si="3"/>
        <v>25-05994-001</v>
      </c>
      <c r="D23" s="1">
        <f t="shared" si="3"/>
        <v>0.15</v>
      </c>
      <c r="E23" s="1">
        <f t="shared" si="3"/>
        <v>0.15</v>
      </c>
      <c r="F23" s="1">
        <f t="shared" si="3"/>
        <v>0.15</v>
      </c>
      <c r="G23" s="1">
        <f t="shared" si="3"/>
        <v>0.15</v>
      </c>
      <c r="H23" s="1">
        <f t="shared" si="3"/>
        <v>0.15</v>
      </c>
      <c r="I23" s="1">
        <f t="shared" si="3"/>
        <v>0.15</v>
      </c>
      <c r="J23" s="25"/>
      <c r="X23" s="62" t="s">
        <v>498</v>
      </c>
      <c r="Y23" s="63" t="s">
        <v>486</v>
      </c>
      <c r="Z23" s="68" t="str">
        <f>'2025NewCourses'!AJ92</f>
        <v>25-06030-001</v>
      </c>
      <c r="AA23" s="68">
        <f>'2025NewCourses'!AN92</f>
        <v>0.15</v>
      </c>
      <c r="AB23" s="68">
        <f>'2025NewCourses'!AO92</f>
        <v>0.15</v>
      </c>
      <c r="AC23" s="68">
        <f>'2025NewCourses'!AP92</f>
        <v>0.15</v>
      </c>
      <c r="AD23" s="68">
        <f>'2025NewCourses'!AQ92</f>
        <v>0.15</v>
      </c>
      <c r="AE23" s="68">
        <f>'2025NewCourses'!AR92</f>
        <v>0.15</v>
      </c>
      <c r="AF23" s="69">
        <f>'2025NewCourses'!AS92</f>
        <v>0</v>
      </c>
    </row>
    <row r="24" spans="1:32" x14ac:dyDescent="0.25">
      <c r="A24" s="60" t="s">
        <v>494</v>
      </c>
      <c r="B24" t="str">
        <f t="shared" si="3"/>
        <v>Basic Chemistry</v>
      </c>
      <c r="C24" t="str">
        <f t="shared" si="3"/>
        <v>25-05997-001</v>
      </c>
      <c r="D24" s="1">
        <f t="shared" si="3"/>
        <v>0.25</v>
      </c>
      <c r="E24" s="1">
        <f t="shared" si="3"/>
        <v>0.25</v>
      </c>
      <c r="F24" s="1">
        <f t="shared" si="3"/>
        <v>0.25</v>
      </c>
      <c r="G24" s="1">
        <f t="shared" si="3"/>
        <v>0.25</v>
      </c>
      <c r="H24" s="1">
        <f t="shared" si="3"/>
        <v>0.25</v>
      </c>
      <c r="I24" s="1">
        <f t="shared" si="3"/>
        <v>0.25</v>
      </c>
      <c r="X24" s="62" t="s">
        <v>499</v>
      </c>
      <c r="Y24" s="63" t="s">
        <v>488</v>
      </c>
      <c r="Z24" s="68" t="str">
        <f>'2025NewCourses'!AJ93</f>
        <v>25-07709-001</v>
      </c>
      <c r="AA24" s="68">
        <f>'2025NewCourses'!AN93</f>
        <v>0.05</v>
      </c>
      <c r="AB24" s="68">
        <f>'2025NewCourses'!AO93</f>
        <v>0.05</v>
      </c>
      <c r="AC24" s="68">
        <f>'2025NewCourses'!AP93</f>
        <v>0.05</v>
      </c>
      <c r="AD24" s="68">
        <f>'2025NewCourses'!AQ93</f>
        <v>0.05</v>
      </c>
      <c r="AE24" s="68">
        <f>'2025NewCourses'!AR93</f>
        <v>0.05</v>
      </c>
      <c r="AF24" s="69">
        <f>'2025NewCourses'!AS93</f>
        <v>0</v>
      </c>
    </row>
    <row r="25" spans="1:32" x14ac:dyDescent="0.25">
      <c r="A25" s="60" t="s">
        <v>498</v>
      </c>
      <c r="B25" t="str">
        <f t="shared" si="3"/>
        <v>Laboratory - Proper Use of Spectrophotometers (QA/QC)</v>
      </c>
      <c r="C25" t="str">
        <f t="shared" si="3"/>
        <v>25-06030-001</v>
      </c>
      <c r="D25" s="1">
        <f t="shared" si="3"/>
        <v>0.15</v>
      </c>
      <c r="E25" s="1">
        <f t="shared" si="3"/>
        <v>0.15</v>
      </c>
      <c r="F25" s="1">
        <f t="shared" si="3"/>
        <v>0.15</v>
      </c>
      <c r="G25" s="1">
        <f t="shared" si="3"/>
        <v>0.15</v>
      </c>
      <c r="H25" s="1">
        <f t="shared" si="3"/>
        <v>0.15</v>
      </c>
      <c r="I25" s="1">
        <f t="shared" si="3"/>
        <v>0</v>
      </c>
      <c r="X25" s="62" t="s">
        <v>500</v>
      </c>
      <c r="Y25" s="63" t="s">
        <v>1959</v>
      </c>
      <c r="Z25" s="68" t="str">
        <f>'2025NewCourses'!AJ94</f>
        <v>25-08960-001</v>
      </c>
      <c r="AA25" s="68">
        <f>'2025NewCourses'!AN94</f>
        <v>0.15</v>
      </c>
      <c r="AB25" s="68">
        <f>'2025NewCourses'!AO94</f>
        <v>0.15</v>
      </c>
      <c r="AC25" s="68">
        <f>'2025NewCourses'!AP94</f>
        <v>0.1</v>
      </c>
      <c r="AD25" s="68">
        <f>'2025NewCourses'!AQ94</f>
        <v>0.15</v>
      </c>
      <c r="AE25" s="68">
        <f>'2025NewCourses'!AR94</f>
        <v>0.15</v>
      </c>
      <c r="AF25" s="69">
        <f>'2025NewCourses'!AS94</f>
        <v>0</v>
      </c>
    </row>
    <row r="26" spans="1:32" x14ac:dyDescent="0.25">
      <c r="A26" t="s">
        <v>287</v>
      </c>
      <c r="D26" s="1">
        <f>SUM(Table36[Max])</f>
        <v>0.85</v>
      </c>
      <c r="E26" s="1">
        <f>SUM(Table36[W])</f>
        <v>0.85</v>
      </c>
      <c r="F26" s="1">
        <f>SUM(Table36[WW])</f>
        <v>0.85</v>
      </c>
      <c r="G26" s="1">
        <f>SUM(Table36[I])</f>
        <v>0.85</v>
      </c>
      <c r="H26" s="1">
        <f>SUM(Table36[D])</f>
        <v>0.85</v>
      </c>
      <c r="I26" s="1">
        <f>SUM(Table36[C])</f>
        <v>0.7</v>
      </c>
      <c r="X26" s="62" t="s">
        <v>501</v>
      </c>
      <c r="Y26" s="63" t="s">
        <v>1960</v>
      </c>
      <c r="Z26" s="68" t="str">
        <f>'2025NewCourses'!AJ95</f>
        <v>25-08961-001</v>
      </c>
      <c r="AA26" s="68">
        <f>'2025NewCourses'!AN95</f>
        <v>0.2</v>
      </c>
      <c r="AB26" s="68">
        <f>'2025NewCourses'!AO95</f>
        <v>0.2</v>
      </c>
      <c r="AC26" s="68">
        <f>'2025NewCourses'!AP95</f>
        <v>0.15</v>
      </c>
      <c r="AD26" s="68">
        <f>'2025NewCourses'!AQ95</f>
        <v>0.2</v>
      </c>
      <c r="AE26" s="68">
        <f>'2025NewCourses'!AR95</f>
        <v>0.2</v>
      </c>
      <c r="AF26" s="69">
        <f>'2025NewCourses'!AS95</f>
        <v>0</v>
      </c>
    </row>
    <row r="27" spans="1:32" x14ac:dyDescent="0.25">
      <c r="X27" s="62" t="s">
        <v>502</v>
      </c>
      <c r="Y27" s="63" t="s">
        <v>698</v>
      </c>
      <c r="Z27" s="68" t="str">
        <f>'2025NewCourses'!AJ96</f>
        <v>25-07639-001</v>
      </c>
      <c r="AA27" s="68">
        <f>'2025NewCourses'!AN96</f>
        <v>0.1</v>
      </c>
      <c r="AB27" s="68">
        <f>'2025NewCourses'!AO96</f>
        <v>0.1</v>
      </c>
      <c r="AC27" s="68">
        <f>'2025NewCourses'!AP96</f>
        <v>0.1</v>
      </c>
      <c r="AD27" s="68">
        <f>'2025NewCourses'!AQ96</f>
        <v>0.1</v>
      </c>
      <c r="AE27" s="68">
        <f>'2025NewCourses'!AR96</f>
        <v>0</v>
      </c>
      <c r="AF27" s="69">
        <f>'2025NewCourses'!AS96</f>
        <v>0</v>
      </c>
    </row>
    <row r="28" spans="1:32" x14ac:dyDescent="0.25">
      <c r="A28" s="6" t="s">
        <v>2296</v>
      </c>
      <c r="I28" s="61">
        <f>D36*10*20*0.9</f>
        <v>162</v>
      </c>
      <c r="X28" s="62" t="s">
        <v>503</v>
      </c>
      <c r="Y28" s="63" t="s">
        <v>1423</v>
      </c>
      <c r="Z28" s="68" t="str">
        <f>'2025NewCourses'!AJ97</f>
        <v>25-07744-001</v>
      </c>
      <c r="AA28" s="68">
        <f>'2025NewCourses'!AN97</f>
        <v>0.2</v>
      </c>
      <c r="AB28" s="68">
        <f>'2025NewCourses'!AO97</f>
        <v>0</v>
      </c>
      <c r="AC28" s="68">
        <f>'2025NewCourses'!AP97</f>
        <v>0.2</v>
      </c>
      <c r="AD28" s="68">
        <f>'2025NewCourses'!AQ97</f>
        <v>0.2</v>
      </c>
      <c r="AE28" s="68">
        <f>'2025NewCourses'!AR97</f>
        <v>0</v>
      </c>
      <c r="AF28" s="69">
        <f>'2025NewCourses'!AS97</f>
        <v>0.2</v>
      </c>
    </row>
    <row r="29" spans="1:32" x14ac:dyDescent="0.25">
      <c r="A29" t="s">
        <v>1956</v>
      </c>
      <c r="B29" t="s">
        <v>249</v>
      </c>
      <c r="C29" t="s">
        <v>1958</v>
      </c>
      <c r="D29" s="1" t="s">
        <v>1284</v>
      </c>
      <c r="E29" s="1" t="s">
        <v>22</v>
      </c>
      <c r="F29" s="1" t="s">
        <v>23</v>
      </c>
      <c r="G29" s="1" t="s">
        <v>26</v>
      </c>
      <c r="H29" s="1" t="s">
        <v>25</v>
      </c>
      <c r="I29" s="1" t="s">
        <v>24</v>
      </c>
      <c r="X29" s="62" t="s">
        <v>725</v>
      </c>
      <c r="Y29" s="67" t="s">
        <v>2085</v>
      </c>
      <c r="Z29" s="68" t="str">
        <f>'2025NewCourses'!AJ98</f>
        <v>25-10938-001</v>
      </c>
      <c r="AA29" s="68">
        <f>'2025NewCourses'!AN98</f>
        <v>0.05</v>
      </c>
      <c r="AB29" s="68">
        <f>'2025NewCourses'!AO98</f>
        <v>0</v>
      </c>
      <c r="AC29" s="68">
        <f>'2025NewCourses'!AP98</f>
        <v>0.05</v>
      </c>
      <c r="AD29" s="68">
        <f>'2025NewCourses'!AQ98</f>
        <v>0.05</v>
      </c>
      <c r="AE29" s="68">
        <f>'2025NewCourses'!AR98</f>
        <v>0</v>
      </c>
      <c r="AF29" s="69">
        <f>'2025NewCourses'!AS98</f>
        <v>0.05</v>
      </c>
    </row>
    <row r="30" spans="1:32" x14ac:dyDescent="0.25">
      <c r="A30" s="60" t="s">
        <v>52</v>
      </c>
      <c r="B30" t="str">
        <f t="shared" ref="B30:I35" si="4">LOOKUP($A30,$X:$X,Y:Y)</f>
        <v>Pumps</v>
      </c>
      <c r="C30" t="str">
        <f t="shared" si="4"/>
        <v>25-06046-002</v>
      </c>
      <c r="D30" s="1">
        <f t="shared" si="4"/>
        <v>0.2</v>
      </c>
      <c r="E30" s="1">
        <f t="shared" si="4"/>
        <v>0.2</v>
      </c>
      <c r="F30" s="1">
        <f t="shared" si="4"/>
        <v>0.2</v>
      </c>
      <c r="G30" s="1">
        <f t="shared" si="4"/>
        <v>0.2</v>
      </c>
      <c r="H30" s="1">
        <f t="shared" si="4"/>
        <v>0.2</v>
      </c>
      <c r="I30" s="1">
        <f t="shared" si="4"/>
        <v>0.2</v>
      </c>
      <c r="X30" s="62" t="s">
        <v>2211</v>
      </c>
      <c r="Y30" s="63" t="s">
        <v>1961</v>
      </c>
      <c r="Z30" s="68">
        <f>'2025NewCourses'!AJ99</f>
        <v>0</v>
      </c>
      <c r="AA30" s="68">
        <f>'2025NewCourses'!AN99</f>
        <v>0.15</v>
      </c>
      <c r="AB30" s="68">
        <f>'2025NewCourses'!AO99</f>
        <v>0.15</v>
      </c>
      <c r="AC30" s="68">
        <f>'2025NewCourses'!AP99</f>
        <v>0.15</v>
      </c>
      <c r="AD30" s="68">
        <f>'2025NewCourses'!AQ99</f>
        <v>0.15</v>
      </c>
      <c r="AE30" s="68">
        <f>'2025NewCourses'!AR99</f>
        <v>0.15</v>
      </c>
      <c r="AF30" s="69">
        <f>'2025NewCourses'!AS99</f>
        <v>0</v>
      </c>
    </row>
    <row r="31" spans="1:32" x14ac:dyDescent="0.25">
      <c r="A31" s="60" t="str">
        <f>X43</f>
        <v>SAF-002</v>
      </c>
      <c r="B31" t="str">
        <f t="shared" si="4"/>
        <v>Confined Space Entry</v>
      </c>
      <c r="C31" t="str">
        <f t="shared" si="4"/>
        <v>25-05999-001</v>
      </c>
      <c r="D31" s="1">
        <f t="shared" si="4"/>
        <v>0.15</v>
      </c>
      <c r="E31" s="1">
        <f t="shared" si="4"/>
        <v>0.15</v>
      </c>
      <c r="F31" s="1">
        <f t="shared" si="4"/>
        <v>0.15</v>
      </c>
      <c r="G31" s="1">
        <f t="shared" si="4"/>
        <v>0.15</v>
      </c>
      <c r="H31" s="1">
        <f t="shared" si="4"/>
        <v>0.15</v>
      </c>
      <c r="I31" s="1">
        <f t="shared" si="4"/>
        <v>0.15</v>
      </c>
      <c r="X31" s="62" t="str">
        <f>'2025NewCourses'!B112</f>
        <v>MAN-001</v>
      </c>
      <c r="Y31" s="67" t="str">
        <f>'2025NewCourses'!D112</f>
        <v>Developing Standard Operating Procedures</v>
      </c>
      <c r="Z31" s="68" t="str">
        <f>'2025NewCourses'!AJ112</f>
        <v>25-10928-001</v>
      </c>
      <c r="AA31" s="68">
        <f>'2025NewCourses'!AN112</f>
        <v>0.1</v>
      </c>
      <c r="AB31" s="68">
        <f>'2025NewCourses'!AO112</f>
        <v>0</v>
      </c>
      <c r="AC31" s="68">
        <f>'2025NewCourses'!AP112</f>
        <v>0</v>
      </c>
      <c r="AD31" s="68">
        <f>'2025NewCourses'!AQ112</f>
        <v>0</v>
      </c>
      <c r="AE31" s="68">
        <f>'2025NewCourses'!AR112</f>
        <v>0</v>
      </c>
      <c r="AF31" s="68">
        <f>'2025NewCourses'!AS112</f>
        <v>0</v>
      </c>
    </row>
    <row r="32" spans="1:32" x14ac:dyDescent="0.25">
      <c r="A32" s="60" t="str">
        <f>X45</f>
        <v>SAF-004</v>
      </c>
      <c r="B32" t="str">
        <f t="shared" si="4"/>
        <v>Demolition Saws</v>
      </c>
      <c r="C32" t="str">
        <f t="shared" si="4"/>
        <v>25-09506-001</v>
      </c>
      <c r="D32" s="1">
        <f t="shared" si="4"/>
        <v>0.05</v>
      </c>
      <c r="E32" s="1">
        <f t="shared" si="4"/>
        <v>0.05</v>
      </c>
      <c r="F32" s="1">
        <f t="shared" si="4"/>
        <v>0.05</v>
      </c>
      <c r="G32" s="1">
        <f t="shared" si="4"/>
        <v>0.05</v>
      </c>
      <c r="H32" s="1">
        <f t="shared" si="4"/>
        <v>0.05</v>
      </c>
      <c r="I32" s="1">
        <f t="shared" si="4"/>
        <v>0.05</v>
      </c>
      <c r="X32" s="62" t="s">
        <v>180</v>
      </c>
      <c r="Y32" s="78" t="s">
        <v>207</v>
      </c>
      <c r="Z32" s="68" t="str">
        <f>'2025NewCourses'!AJ5</f>
        <v>25-05983-002</v>
      </c>
      <c r="AA32" s="68">
        <f>'2025NewCourses'!AN5</f>
        <v>0.1</v>
      </c>
      <c r="AB32" s="68">
        <f>'2025NewCourses'!AO5</f>
        <v>0.1</v>
      </c>
      <c r="AC32" s="68">
        <f>'2025NewCourses'!AP5</f>
        <v>0.1</v>
      </c>
      <c r="AD32" s="68">
        <f>'2025NewCourses'!AQ5</f>
        <v>0.1</v>
      </c>
      <c r="AE32" s="68">
        <f>'2025NewCourses'!AR5</f>
        <v>0.1</v>
      </c>
      <c r="AF32" s="69">
        <f>'2025NewCourses'!AS5</f>
        <v>0.1</v>
      </c>
    </row>
    <row r="33" spans="1:32" x14ac:dyDescent="0.25">
      <c r="A33" s="60" t="s">
        <v>56</v>
      </c>
      <c r="B33" t="str">
        <f t="shared" si="4"/>
        <v>Corrosion Control</v>
      </c>
      <c r="C33" t="str">
        <f t="shared" si="4"/>
        <v>25-05992-001</v>
      </c>
      <c r="D33" s="1">
        <f t="shared" si="4"/>
        <v>0.25</v>
      </c>
      <c r="E33" s="1">
        <f t="shared" si="4"/>
        <v>0.25</v>
      </c>
      <c r="F33" s="1">
        <f t="shared" si="4"/>
        <v>0.25</v>
      </c>
      <c r="G33" s="1">
        <f t="shared" si="4"/>
        <v>0.25</v>
      </c>
      <c r="H33" s="1">
        <f t="shared" si="4"/>
        <v>0.25</v>
      </c>
      <c r="I33" s="1">
        <f t="shared" si="4"/>
        <v>0.25</v>
      </c>
      <c r="X33" s="62" t="s">
        <v>50</v>
      </c>
      <c r="Y33" s="78" t="s">
        <v>33</v>
      </c>
      <c r="Z33" s="68" t="str">
        <f>'2025NewCourses'!AJ6</f>
        <v>25-05984-002</v>
      </c>
      <c r="AA33" s="68">
        <f>'2025NewCourses'!AN6</f>
        <v>0.05</v>
      </c>
      <c r="AB33" s="68">
        <f>'2025NewCourses'!AO6</f>
        <v>0.05</v>
      </c>
      <c r="AC33" s="68">
        <f>'2025NewCourses'!AP6</f>
        <v>0.05</v>
      </c>
      <c r="AD33" s="68">
        <f>'2025NewCourses'!AQ6</f>
        <v>0.05</v>
      </c>
      <c r="AE33" s="68">
        <f>'2025NewCourses'!AR6</f>
        <v>0.05</v>
      </c>
      <c r="AF33" s="69">
        <f>'2025NewCourses'!AS6</f>
        <v>0.05</v>
      </c>
    </row>
    <row r="34" spans="1:32" x14ac:dyDescent="0.25">
      <c r="A34" s="60" t="s">
        <v>1056</v>
      </c>
      <c r="B34" t="str">
        <f t="shared" si="4"/>
        <v>Backflow Preventers</v>
      </c>
      <c r="C34" t="str">
        <f t="shared" si="4"/>
        <v>25-08959-001</v>
      </c>
      <c r="D34" s="1">
        <f t="shared" si="4"/>
        <v>0.05</v>
      </c>
      <c r="E34" s="1">
        <f t="shared" si="4"/>
        <v>0.05</v>
      </c>
      <c r="F34" s="1">
        <f t="shared" si="4"/>
        <v>0.05</v>
      </c>
      <c r="G34" s="1">
        <f t="shared" si="4"/>
        <v>0.05</v>
      </c>
      <c r="H34" s="1">
        <f t="shared" si="4"/>
        <v>0.05</v>
      </c>
      <c r="I34" s="1">
        <f t="shared" si="4"/>
        <v>0.05</v>
      </c>
      <c r="X34" s="62" t="s">
        <v>51</v>
      </c>
      <c r="Y34" s="78" t="s">
        <v>34</v>
      </c>
      <c r="Z34" s="68" t="str">
        <f>'2025NewCourses'!AJ7</f>
        <v>25-05985-002</v>
      </c>
      <c r="AA34" s="68">
        <f>'2025NewCourses'!AN7</f>
        <v>0.05</v>
      </c>
      <c r="AB34" s="68">
        <f>'2025NewCourses'!AO7</f>
        <v>0.05</v>
      </c>
      <c r="AC34" s="68">
        <f>'2025NewCourses'!AP7</f>
        <v>0.05</v>
      </c>
      <c r="AD34" s="68">
        <f>'2025NewCourses'!AQ7</f>
        <v>0.05</v>
      </c>
      <c r="AE34" s="68">
        <f>'2025NewCourses'!AR7</f>
        <v>0.05</v>
      </c>
      <c r="AF34" s="69">
        <f>'2025NewCourses'!AS7</f>
        <v>0.05</v>
      </c>
    </row>
    <row r="35" spans="1:32" x14ac:dyDescent="0.25">
      <c r="A35" s="60" t="s">
        <v>495</v>
      </c>
      <c r="B35" t="str">
        <f t="shared" si="4"/>
        <v>Laboratory - pH, Alkalinity, and Hardness</v>
      </c>
      <c r="C35" t="str">
        <f t="shared" si="4"/>
        <v>25-07704-001</v>
      </c>
      <c r="D35" s="1">
        <f t="shared" si="4"/>
        <v>0.2</v>
      </c>
      <c r="E35" s="1">
        <f t="shared" si="4"/>
        <v>0.2</v>
      </c>
      <c r="F35" s="1">
        <f t="shared" si="4"/>
        <v>0.2</v>
      </c>
      <c r="G35" s="1">
        <f t="shared" si="4"/>
        <v>0.2</v>
      </c>
      <c r="H35" s="1">
        <f t="shared" si="4"/>
        <v>0.2</v>
      </c>
      <c r="I35" s="1">
        <f t="shared" si="4"/>
        <v>0.05</v>
      </c>
      <c r="X35" s="62" t="s">
        <v>205</v>
      </c>
      <c r="Y35" s="78" t="s">
        <v>35</v>
      </c>
      <c r="Z35" s="68" t="str">
        <f>'2025NewCourses'!AJ8</f>
        <v>25-05986-002</v>
      </c>
      <c r="AA35" s="68">
        <f>'2025NewCourses'!AN8</f>
        <v>0.05</v>
      </c>
      <c r="AB35" s="68">
        <f>'2025NewCourses'!AO8</f>
        <v>0.05</v>
      </c>
      <c r="AC35" s="68">
        <f>'2025NewCourses'!AP8</f>
        <v>0.05</v>
      </c>
      <c r="AD35" s="68">
        <f>'2025NewCourses'!AQ8</f>
        <v>0.05</v>
      </c>
      <c r="AE35" s="68">
        <f>'2025NewCourses'!AR8</f>
        <v>0.05</v>
      </c>
      <c r="AF35" s="69">
        <f>'2025NewCourses'!AS8</f>
        <v>0.05</v>
      </c>
    </row>
    <row r="36" spans="1:32" x14ac:dyDescent="0.25">
      <c r="A36" t="s">
        <v>287</v>
      </c>
      <c r="D36" s="1">
        <f>SUM(Table38[Max])</f>
        <v>0.89999999999999991</v>
      </c>
      <c r="E36" s="1">
        <f>SUM(Table38[W])</f>
        <v>0.89999999999999991</v>
      </c>
      <c r="F36" s="1">
        <f>SUM(Table38[WW])</f>
        <v>0.89999999999999991</v>
      </c>
      <c r="G36" s="1">
        <f>SUM(Table38[I])</f>
        <v>0.89999999999999991</v>
      </c>
      <c r="H36" s="1">
        <f>SUM(Table38[D])</f>
        <v>0.89999999999999991</v>
      </c>
      <c r="I36" s="1">
        <f>SUM(Table38[C])</f>
        <v>0.75</v>
      </c>
      <c r="X36" s="62" t="s">
        <v>201</v>
      </c>
      <c r="Y36" s="78" t="s">
        <v>202</v>
      </c>
      <c r="Z36" s="68" t="str">
        <f>'2025NewCourses'!AJ9</f>
        <v>25-05987-001</v>
      </c>
      <c r="AA36" s="68">
        <f>'2025NewCourses'!AN9</f>
        <v>0.1</v>
      </c>
      <c r="AB36" s="68">
        <f>'2025NewCourses'!AO9</f>
        <v>0.1</v>
      </c>
      <c r="AC36" s="68">
        <f>'2025NewCourses'!AP9</f>
        <v>0.1</v>
      </c>
      <c r="AD36" s="68">
        <f>'2025NewCourses'!AQ9</f>
        <v>0.1</v>
      </c>
      <c r="AE36" s="68">
        <f>'2025NewCourses'!AR9</f>
        <v>0.1</v>
      </c>
      <c r="AF36" s="69">
        <f>'2025NewCourses'!AS9</f>
        <v>0.1</v>
      </c>
    </row>
    <row r="37" spans="1:32" x14ac:dyDescent="0.25">
      <c r="X37" s="62" t="s">
        <v>203</v>
      </c>
      <c r="Y37" s="78" t="s">
        <v>204</v>
      </c>
      <c r="Z37" s="68" t="str">
        <f>'2025NewCourses'!AJ10</f>
        <v>25-05988-001</v>
      </c>
      <c r="AA37" s="68">
        <f>'2025NewCourses'!AN10</f>
        <v>0.15</v>
      </c>
      <c r="AB37" s="68">
        <f>'2025NewCourses'!AO10</f>
        <v>0.15</v>
      </c>
      <c r="AC37" s="68">
        <f>'2025NewCourses'!AP10</f>
        <v>0.15</v>
      </c>
      <c r="AD37" s="68">
        <f>'2025NewCourses'!AQ10</f>
        <v>0.15</v>
      </c>
      <c r="AE37" s="68">
        <f>'2025NewCourses'!AR10</f>
        <v>0.15</v>
      </c>
      <c r="AF37" s="69">
        <f>'2025NewCourses'!AS10</f>
        <v>0.15</v>
      </c>
    </row>
    <row r="38" spans="1:32" x14ac:dyDescent="0.25">
      <c r="A38" s="6" t="s">
        <v>2297</v>
      </c>
      <c r="I38" s="80">
        <f>(D51-0.4)*10*20*0.9</f>
        <v>225</v>
      </c>
      <c r="X38" s="62" t="s">
        <v>260</v>
      </c>
      <c r="Y38" s="78" t="s">
        <v>261</v>
      </c>
      <c r="Z38" s="68" t="str">
        <f>'2025NewCourses'!AJ11</f>
        <v>25-06672-001</v>
      </c>
      <c r="AA38" s="68">
        <f>'2025NewCourses'!AN11</f>
        <v>0.05</v>
      </c>
      <c r="AB38" s="68">
        <f>'2025NewCourses'!AO11</f>
        <v>0.05</v>
      </c>
      <c r="AC38" s="68">
        <f>'2025NewCourses'!AP11</f>
        <v>0.05</v>
      </c>
      <c r="AD38" s="68">
        <f>'2025NewCourses'!AQ11</f>
        <v>0.05</v>
      </c>
      <c r="AE38" s="68">
        <f>'2025NewCourses'!AR11</f>
        <v>0.05</v>
      </c>
      <c r="AF38" s="69">
        <f>'2025NewCourses'!AS11</f>
        <v>0.05</v>
      </c>
    </row>
    <row r="39" spans="1:32" x14ac:dyDescent="0.25">
      <c r="A39" t="s">
        <v>1956</v>
      </c>
      <c r="B39" t="s">
        <v>249</v>
      </c>
      <c r="C39" t="s">
        <v>1958</v>
      </c>
      <c r="D39" s="1" t="s">
        <v>1284</v>
      </c>
      <c r="E39" s="1" t="s">
        <v>22</v>
      </c>
      <c r="F39" s="1" t="s">
        <v>23</v>
      </c>
      <c r="G39" s="1" t="s">
        <v>26</v>
      </c>
      <c r="H39" s="1" t="s">
        <v>25</v>
      </c>
      <c r="I39" s="1" t="s">
        <v>24</v>
      </c>
      <c r="X39" s="62" t="s">
        <v>1715</v>
      </c>
      <c r="Y39" s="78" t="s">
        <v>1718</v>
      </c>
      <c r="Z39" s="68" t="str">
        <f>'2025NewCourses'!AJ12</f>
        <v>25-10564-001</v>
      </c>
      <c r="AA39" s="68">
        <f>'2025NewCourses'!AN12</f>
        <v>0.2</v>
      </c>
      <c r="AB39" s="68">
        <f>'2025NewCourses'!AO12</f>
        <v>0</v>
      </c>
      <c r="AC39" s="68">
        <f>'2025NewCourses'!AP12</f>
        <v>0.2</v>
      </c>
      <c r="AD39" s="68">
        <f>'2025NewCourses'!AQ12</f>
        <v>0.2</v>
      </c>
      <c r="AE39" s="68">
        <f>'2025NewCourses'!AR12</f>
        <v>0</v>
      </c>
      <c r="AF39" s="69">
        <f>'2025NewCourses'!AS12</f>
        <v>0</v>
      </c>
    </row>
    <row r="40" spans="1:32" x14ac:dyDescent="0.25">
      <c r="A40" s="60" t="s">
        <v>494</v>
      </c>
      <c r="B40" t="str">
        <f t="shared" ref="B40:B50" si="5">LOOKUP($A40,$X:$X,Y:Y)</f>
        <v>Basic Chemistry</v>
      </c>
      <c r="C40" s="1" t="str">
        <f t="shared" ref="C40:C50" si="6">LOOKUP($A40,$X:$X,Z:Z)</f>
        <v>25-05997-001</v>
      </c>
      <c r="D40" s="3">
        <f t="shared" ref="D40:D50" si="7">AA19</f>
        <v>0.25</v>
      </c>
      <c r="E40" s="1">
        <f t="shared" ref="E40:E49" si="8">LOOKUP($A40,$X:$X,AB:AB)</f>
        <v>0.25</v>
      </c>
      <c r="F40" s="1">
        <f t="shared" ref="F40:F49" si="9">LOOKUP($A40,$X:$X,AC:AC)</f>
        <v>0.25</v>
      </c>
      <c r="G40" s="1">
        <f t="shared" ref="G40:G49" si="10">LOOKUP($A40,$X:$X,AD:AD)</f>
        <v>0.25</v>
      </c>
      <c r="H40" s="1">
        <f t="shared" ref="H40:H49" si="11">LOOKUP($A40,$X:$X,AE:AE)</f>
        <v>0.25</v>
      </c>
      <c r="I40" s="1">
        <f t="shared" ref="I40:I49" si="12">LOOKUP($A40,$X:$X,AF:AF)</f>
        <v>0.25</v>
      </c>
      <c r="X40" s="62" t="s">
        <v>1716</v>
      </c>
      <c r="Y40" s="78" t="s">
        <v>1719</v>
      </c>
      <c r="Z40" s="68" t="str">
        <f>'2025NewCourses'!AJ13</f>
        <v>25-10565-001</v>
      </c>
      <c r="AA40" s="68">
        <f>'2025NewCourses'!AN13</f>
        <v>0.2</v>
      </c>
      <c r="AB40" s="68">
        <f>'2025NewCourses'!AO13</f>
        <v>0</v>
      </c>
      <c r="AC40" s="68">
        <f>'2025NewCourses'!AP13</f>
        <v>0.2</v>
      </c>
      <c r="AD40" s="68">
        <f>'2025NewCourses'!AQ13</f>
        <v>0.2</v>
      </c>
      <c r="AE40" s="68">
        <f>'2025NewCourses'!AR13</f>
        <v>0</v>
      </c>
      <c r="AF40" s="69">
        <f>'2025NewCourses'!AS13</f>
        <v>0</v>
      </c>
    </row>
    <row r="41" spans="1:32" x14ac:dyDescent="0.25">
      <c r="A41" s="60" t="s">
        <v>495</v>
      </c>
      <c r="B41" t="str">
        <f t="shared" si="5"/>
        <v>Laboratory - pH, Alkalinity, and Hardness</v>
      </c>
      <c r="C41" s="1" t="str">
        <f t="shared" si="6"/>
        <v>25-07704-001</v>
      </c>
      <c r="D41" s="3">
        <f t="shared" si="7"/>
        <v>0.2</v>
      </c>
      <c r="E41" s="1">
        <f t="shared" si="8"/>
        <v>0.2</v>
      </c>
      <c r="F41" s="1">
        <f t="shared" si="9"/>
        <v>0.2</v>
      </c>
      <c r="G41" s="1">
        <f t="shared" si="10"/>
        <v>0.2</v>
      </c>
      <c r="H41" s="1">
        <f t="shared" si="11"/>
        <v>0.2</v>
      </c>
      <c r="I41" s="1">
        <f t="shared" si="12"/>
        <v>0.05</v>
      </c>
      <c r="X41" s="62" t="s">
        <v>1717</v>
      </c>
      <c r="Y41" s="78" t="s">
        <v>1720</v>
      </c>
      <c r="Z41" s="68" t="str">
        <f>'2025NewCourses'!AJ14</f>
        <v>25-10566-001</v>
      </c>
      <c r="AA41" s="68">
        <f>'2025NewCourses'!AN14</f>
        <v>0.2</v>
      </c>
      <c r="AB41" s="68">
        <f>'2025NewCourses'!AO14</f>
        <v>0</v>
      </c>
      <c r="AC41" s="68">
        <f>'2025NewCourses'!AP14</f>
        <v>0.2</v>
      </c>
      <c r="AD41" s="68">
        <f>'2025NewCourses'!AQ14</f>
        <v>0.2</v>
      </c>
      <c r="AE41" s="68">
        <f>'2025NewCourses'!AR14</f>
        <v>0</v>
      </c>
      <c r="AF41" s="69">
        <f>'2025NewCourses'!AS14</f>
        <v>0</v>
      </c>
    </row>
    <row r="42" spans="1:32" x14ac:dyDescent="0.25">
      <c r="A42" s="60" t="s">
        <v>496</v>
      </c>
      <c r="B42" t="str">
        <f t="shared" si="5"/>
        <v>Laboratory - TDS, Conductivity, and Turbidity</v>
      </c>
      <c r="C42" s="1" t="str">
        <f t="shared" si="6"/>
        <v>25-07745-001</v>
      </c>
      <c r="D42" s="3">
        <f t="shared" si="7"/>
        <v>0.2</v>
      </c>
      <c r="E42" s="1">
        <f t="shared" si="8"/>
        <v>0.2</v>
      </c>
      <c r="F42" s="1">
        <f t="shared" si="9"/>
        <v>0.2</v>
      </c>
      <c r="G42" s="1">
        <f t="shared" si="10"/>
        <v>0.2</v>
      </c>
      <c r="H42" s="1">
        <f t="shared" si="11"/>
        <v>0.2</v>
      </c>
      <c r="I42" s="1">
        <f t="shared" si="12"/>
        <v>0</v>
      </c>
      <c r="X42" s="62" t="s">
        <v>62</v>
      </c>
      <c r="Y42" s="63" t="s">
        <v>20</v>
      </c>
      <c r="Z42" s="68" t="str">
        <f>'2025NewCourses'!AJ27</f>
        <v>25-05998-001</v>
      </c>
      <c r="AA42" s="68">
        <f>'2025NewCourses'!AN27</f>
        <v>0.25</v>
      </c>
      <c r="AB42" s="68">
        <f>'2025NewCourses'!AO27</f>
        <v>0</v>
      </c>
      <c r="AC42" s="68">
        <f>'2025NewCourses'!AP27</f>
        <v>0</v>
      </c>
      <c r="AD42" s="68">
        <f>'2025NewCourses'!AQ27</f>
        <v>0</v>
      </c>
      <c r="AE42" s="68">
        <f>'2025NewCourses'!AR27</f>
        <v>0.25</v>
      </c>
      <c r="AF42" s="69">
        <f>'2025NewCourses'!AS27</f>
        <v>0.25</v>
      </c>
    </row>
    <row r="43" spans="1:32" x14ac:dyDescent="0.25">
      <c r="A43" s="60" t="s">
        <v>497</v>
      </c>
      <c r="B43" t="str">
        <f t="shared" si="5"/>
        <v>Laboratory - Total Suspended Solids</v>
      </c>
      <c r="C43" s="1" t="str">
        <f t="shared" si="6"/>
        <v>25-06028-001</v>
      </c>
      <c r="D43" s="3">
        <f t="shared" si="7"/>
        <v>0.1</v>
      </c>
      <c r="E43" s="1">
        <f t="shared" si="8"/>
        <v>0.1</v>
      </c>
      <c r="F43" s="1">
        <f t="shared" si="9"/>
        <v>0.1</v>
      </c>
      <c r="G43" s="1">
        <f t="shared" si="10"/>
        <v>0.1</v>
      </c>
      <c r="H43" s="1">
        <f t="shared" si="11"/>
        <v>0</v>
      </c>
      <c r="I43" s="1">
        <f t="shared" si="12"/>
        <v>0</v>
      </c>
      <c r="X43" s="62" t="s">
        <v>63</v>
      </c>
      <c r="Y43" s="63" t="s">
        <v>18</v>
      </c>
      <c r="Z43" s="68" t="str">
        <f>'2025NewCourses'!AJ28</f>
        <v>25-05999-001</v>
      </c>
      <c r="AA43" s="68">
        <f>'2025NewCourses'!AN28</f>
        <v>0.15</v>
      </c>
      <c r="AB43" s="68">
        <f>'2025NewCourses'!AO28</f>
        <v>0.15</v>
      </c>
      <c r="AC43" s="68">
        <f>'2025NewCourses'!AP28</f>
        <v>0.15</v>
      </c>
      <c r="AD43" s="68">
        <f>'2025NewCourses'!AQ28</f>
        <v>0.15</v>
      </c>
      <c r="AE43" s="68">
        <f>'2025NewCourses'!AR28</f>
        <v>0.15</v>
      </c>
      <c r="AF43" s="69">
        <f>'2025NewCourses'!AS28</f>
        <v>0.15</v>
      </c>
    </row>
    <row r="44" spans="1:32" x14ac:dyDescent="0.25">
      <c r="A44" s="60" t="s">
        <v>498</v>
      </c>
      <c r="B44" t="str">
        <f t="shared" si="5"/>
        <v>Laboratory - Proper Use of Spectrophotometers (QA/QC)</v>
      </c>
      <c r="C44" s="1" t="str">
        <f t="shared" si="6"/>
        <v>25-06030-001</v>
      </c>
      <c r="D44" s="3">
        <f t="shared" si="7"/>
        <v>0.15</v>
      </c>
      <c r="E44" s="1">
        <f t="shared" si="8"/>
        <v>0.15</v>
      </c>
      <c r="F44" s="1">
        <f t="shared" si="9"/>
        <v>0.15</v>
      </c>
      <c r="G44" s="1">
        <f t="shared" si="10"/>
        <v>0.15</v>
      </c>
      <c r="H44" s="1">
        <f t="shared" si="11"/>
        <v>0.15</v>
      </c>
      <c r="I44" s="1">
        <f t="shared" si="12"/>
        <v>0</v>
      </c>
      <c r="X44" s="62" t="s">
        <v>1467</v>
      </c>
      <c r="Y44" s="63" t="s">
        <v>1468</v>
      </c>
      <c r="Z44" s="68" t="str">
        <f>'2025NewCourses'!AJ29</f>
        <v>25-09451-001</v>
      </c>
      <c r="AA44" s="68">
        <f>'2025NewCourses'!AN29</f>
        <v>0.1</v>
      </c>
      <c r="AB44" s="68">
        <f>'2025NewCourses'!AO29</f>
        <v>0</v>
      </c>
      <c r="AC44" s="68">
        <f>'2025NewCourses'!AP29</f>
        <v>0</v>
      </c>
      <c r="AD44" s="68">
        <f>'2025NewCourses'!AQ29</f>
        <v>0</v>
      </c>
      <c r="AE44" s="68">
        <f>'2025NewCourses'!AR29</f>
        <v>0</v>
      </c>
      <c r="AF44" s="69">
        <f>'2025NewCourses'!AS29</f>
        <v>0</v>
      </c>
    </row>
    <row r="45" spans="1:32" x14ac:dyDescent="0.25">
      <c r="A45" s="60" t="s">
        <v>499</v>
      </c>
      <c r="B45" t="str">
        <f t="shared" si="5"/>
        <v>Laboratory - Chlorine Residual by DPD</v>
      </c>
      <c r="C45" s="1" t="str">
        <f t="shared" si="6"/>
        <v>25-07709-001</v>
      </c>
      <c r="D45" s="3">
        <f t="shared" si="7"/>
        <v>0.05</v>
      </c>
      <c r="E45" s="1">
        <f t="shared" si="8"/>
        <v>0.05</v>
      </c>
      <c r="F45" s="1">
        <f t="shared" si="9"/>
        <v>0.05</v>
      </c>
      <c r="G45" s="1">
        <f t="shared" si="10"/>
        <v>0.05</v>
      </c>
      <c r="H45" s="1">
        <f t="shared" si="11"/>
        <v>0.05</v>
      </c>
      <c r="I45" s="1">
        <f t="shared" si="12"/>
        <v>0</v>
      </c>
      <c r="X45" s="62" t="s">
        <v>1475</v>
      </c>
      <c r="Y45" s="63" t="s">
        <v>2091</v>
      </c>
      <c r="Z45" s="68" t="str">
        <f>'2025NewCourses'!AJ30</f>
        <v>25-09506-001</v>
      </c>
      <c r="AA45" s="68">
        <f>'2025NewCourses'!AN30</f>
        <v>0.05</v>
      </c>
      <c r="AB45" s="68">
        <f>'2025NewCourses'!AO30</f>
        <v>0.05</v>
      </c>
      <c r="AC45" s="68">
        <f>'2025NewCourses'!AP30</f>
        <v>0.05</v>
      </c>
      <c r="AD45" s="68">
        <f>'2025NewCourses'!AQ30</f>
        <v>0.05</v>
      </c>
      <c r="AE45" s="68">
        <f>'2025NewCourses'!AR30</f>
        <v>0.05</v>
      </c>
      <c r="AF45" s="69">
        <f>'2025NewCourses'!AS30</f>
        <v>0.05</v>
      </c>
    </row>
    <row r="46" spans="1:32" x14ac:dyDescent="0.25">
      <c r="A46" s="60" t="s">
        <v>500</v>
      </c>
      <c r="B46" t="str">
        <f t="shared" si="5"/>
        <v xml:space="preserve">Laboratory - Spectroscopic Tests: Fluoride, Nitrite, and Nitrate </v>
      </c>
      <c r="C46" s="1" t="str">
        <f t="shared" si="6"/>
        <v>25-08960-001</v>
      </c>
      <c r="D46" s="3">
        <f t="shared" si="7"/>
        <v>0.15</v>
      </c>
      <c r="E46" s="1">
        <f t="shared" si="8"/>
        <v>0.15</v>
      </c>
      <c r="F46" s="1">
        <f t="shared" si="9"/>
        <v>0.1</v>
      </c>
      <c r="G46" s="1">
        <f t="shared" si="10"/>
        <v>0.15</v>
      </c>
      <c r="H46" s="1">
        <f t="shared" si="11"/>
        <v>0.15</v>
      </c>
      <c r="I46" s="1">
        <f t="shared" si="12"/>
        <v>0</v>
      </c>
      <c r="X46" s="62" t="s">
        <v>89</v>
      </c>
      <c r="Y46" s="63" t="s">
        <v>43</v>
      </c>
      <c r="Z46" s="68" t="str">
        <f>'2025NewCourses'!AJ75</f>
        <v>25-06034-002</v>
      </c>
      <c r="AA46" s="68">
        <f>'2025NewCourses'!AN75</f>
        <v>0.1</v>
      </c>
      <c r="AB46" s="68">
        <f>'2025NewCourses'!AO75</f>
        <v>0.1</v>
      </c>
      <c r="AC46" s="68">
        <f>'2025NewCourses'!AP75</f>
        <v>0</v>
      </c>
      <c r="AD46" s="68">
        <f>'2025NewCourses'!AQ75</f>
        <v>0</v>
      </c>
      <c r="AE46" s="68">
        <f>'2025NewCourses'!AR75</f>
        <v>0.1</v>
      </c>
      <c r="AF46" s="69">
        <f>'2025NewCourses'!AS75</f>
        <v>0</v>
      </c>
    </row>
    <row r="47" spans="1:32" x14ac:dyDescent="0.25">
      <c r="A47" t="s">
        <v>501</v>
      </c>
      <c r="B47" t="str">
        <f t="shared" si="5"/>
        <v>Laboratory - Ion-Selective Electrodes (ammonia, nitrate, fluoride)</v>
      </c>
      <c r="C47" s="1" t="str">
        <f t="shared" si="6"/>
        <v>25-08961-001</v>
      </c>
      <c r="D47" s="3">
        <f t="shared" si="7"/>
        <v>0.2</v>
      </c>
      <c r="E47" s="1">
        <f t="shared" si="8"/>
        <v>0.2</v>
      </c>
      <c r="F47" s="1">
        <f t="shared" si="9"/>
        <v>0.15</v>
      </c>
      <c r="G47" s="1">
        <f t="shared" si="10"/>
        <v>0.2</v>
      </c>
      <c r="H47" s="1">
        <f t="shared" si="11"/>
        <v>0.2</v>
      </c>
      <c r="I47" s="1">
        <f t="shared" si="12"/>
        <v>0</v>
      </c>
      <c r="X47" s="62" t="s">
        <v>90</v>
      </c>
      <c r="Y47" s="63" t="s">
        <v>44</v>
      </c>
      <c r="Z47" s="68" t="str">
        <f>'2025NewCourses'!AJ76</f>
        <v>25-06035-001</v>
      </c>
      <c r="AA47" s="68">
        <f>'2025NewCourses'!AN76</f>
        <v>0.15</v>
      </c>
      <c r="AB47" s="68">
        <f>'2025NewCourses'!AO76</f>
        <v>0.15</v>
      </c>
      <c r="AC47" s="68">
        <f>'2025NewCourses'!AP76</f>
        <v>0</v>
      </c>
      <c r="AD47" s="68">
        <f>'2025NewCourses'!AQ76</f>
        <v>0</v>
      </c>
      <c r="AE47" s="68">
        <f>'2025NewCourses'!AR76</f>
        <v>0.15</v>
      </c>
      <c r="AF47" s="69">
        <f>'2025NewCourses'!AS76</f>
        <v>0</v>
      </c>
    </row>
    <row r="48" spans="1:32" x14ac:dyDescent="0.25">
      <c r="A48" t="s">
        <v>502</v>
      </c>
      <c r="B48" t="str">
        <f t="shared" si="5"/>
        <v>Laboratory - Jar Testing</v>
      </c>
      <c r="C48" s="1" t="str">
        <f t="shared" si="6"/>
        <v>25-07639-001</v>
      </c>
      <c r="D48" s="3">
        <f t="shared" si="7"/>
        <v>0.1</v>
      </c>
      <c r="E48" s="1">
        <f t="shared" si="8"/>
        <v>0.1</v>
      </c>
      <c r="F48" s="1">
        <f t="shared" si="9"/>
        <v>0.1</v>
      </c>
      <c r="G48" s="1">
        <f t="shared" si="10"/>
        <v>0.1</v>
      </c>
      <c r="H48" s="1">
        <f t="shared" si="11"/>
        <v>0</v>
      </c>
      <c r="I48" s="1">
        <f t="shared" si="12"/>
        <v>0</v>
      </c>
      <c r="X48" s="62" t="s">
        <v>91</v>
      </c>
      <c r="Y48" s="63" t="s">
        <v>45</v>
      </c>
      <c r="Z48" s="68" t="str">
        <f>'2025NewCourses'!AJ77</f>
        <v>25-06036-001</v>
      </c>
      <c r="AA48" s="68">
        <f>'2025NewCourses'!AN77</f>
        <v>0.1</v>
      </c>
      <c r="AB48" s="68">
        <f>'2025NewCourses'!AO77</f>
        <v>0.1</v>
      </c>
      <c r="AC48" s="68">
        <f>'2025NewCourses'!AP77</f>
        <v>0</v>
      </c>
      <c r="AD48" s="68">
        <f>'2025NewCourses'!AQ77</f>
        <v>0.1</v>
      </c>
      <c r="AE48" s="68">
        <f>'2025NewCourses'!AR77</f>
        <v>0.1</v>
      </c>
      <c r="AF48" s="69">
        <f>'2025NewCourses'!AS77</f>
        <v>0</v>
      </c>
    </row>
    <row r="49" spans="1:32" x14ac:dyDescent="0.25">
      <c r="A49" t="s">
        <v>503</v>
      </c>
      <c r="B49" t="str">
        <f t="shared" si="5"/>
        <v>Laboratory Testing - Biochemical Oxygen Demand</v>
      </c>
      <c r="C49" s="1" t="str">
        <f t="shared" si="6"/>
        <v>25-07744-001</v>
      </c>
      <c r="D49" s="3">
        <f t="shared" si="7"/>
        <v>0.2</v>
      </c>
      <c r="E49" s="1">
        <f t="shared" si="8"/>
        <v>0</v>
      </c>
      <c r="F49" s="1">
        <f t="shared" si="9"/>
        <v>0.2</v>
      </c>
      <c r="G49" s="1">
        <f t="shared" si="10"/>
        <v>0.2</v>
      </c>
      <c r="H49" s="1">
        <f t="shared" si="11"/>
        <v>0</v>
      </c>
      <c r="I49" s="1">
        <f t="shared" si="12"/>
        <v>0.2</v>
      </c>
      <c r="X49" s="62" t="s">
        <v>92</v>
      </c>
      <c r="Y49" s="63" t="s">
        <v>307</v>
      </c>
      <c r="Z49" s="68" t="str">
        <f>'2025NewCourses'!AJ78</f>
        <v>25-06037-001</v>
      </c>
      <c r="AA49" s="68">
        <f>'2025NewCourses'!AN78</f>
        <v>0.25</v>
      </c>
      <c r="AB49" s="68">
        <f>'2025NewCourses'!AO78</f>
        <v>0.25</v>
      </c>
      <c r="AC49" s="68">
        <f>'2025NewCourses'!AP78</f>
        <v>0</v>
      </c>
      <c r="AD49" s="68">
        <f>'2025NewCourses'!AQ78</f>
        <v>0</v>
      </c>
      <c r="AE49" s="68">
        <f>'2025NewCourses'!AR78</f>
        <v>0</v>
      </c>
      <c r="AF49" s="69">
        <f>'2025NewCourses'!AS78</f>
        <v>0</v>
      </c>
    </row>
    <row r="50" spans="1:32" x14ac:dyDescent="0.25">
      <c r="A50" t="s">
        <v>725</v>
      </c>
      <c r="B50" t="str">
        <f t="shared" si="5"/>
        <v>Laboratory Testing - BOD Calculations</v>
      </c>
      <c r="C50" s="1" t="str">
        <f t="shared" si="6"/>
        <v>25-10938-001</v>
      </c>
      <c r="D50" s="3">
        <f t="shared" si="7"/>
        <v>0.05</v>
      </c>
      <c r="E50" s="3">
        <f t="shared" ref="E50" si="13">AB29</f>
        <v>0</v>
      </c>
      <c r="F50" s="3">
        <f t="shared" ref="F50" si="14">AC29</f>
        <v>0.05</v>
      </c>
      <c r="G50" s="3">
        <f t="shared" ref="G50" si="15">AD29</f>
        <v>0.05</v>
      </c>
      <c r="H50" s="3">
        <f t="shared" ref="H50" si="16">AE29</f>
        <v>0</v>
      </c>
      <c r="I50" s="3">
        <f t="shared" ref="I50" si="17">AF29</f>
        <v>0.05</v>
      </c>
      <c r="X50" s="62" t="s">
        <v>93</v>
      </c>
      <c r="Y50" s="63" t="s">
        <v>199</v>
      </c>
      <c r="Z50" s="68" t="str">
        <f>'2025NewCourses'!AJ79</f>
        <v>25-06038-001</v>
      </c>
      <c r="AA50" s="68">
        <f>'2025NewCourses'!AN79</f>
        <v>0.25</v>
      </c>
      <c r="AB50" s="68">
        <f>'2025NewCourses'!AO79</f>
        <v>0.25</v>
      </c>
      <c r="AC50" s="68">
        <f>'2025NewCourses'!AP79</f>
        <v>0.25</v>
      </c>
      <c r="AD50" s="68">
        <f>'2025NewCourses'!AQ79</f>
        <v>0.25</v>
      </c>
      <c r="AE50" s="68">
        <f>'2025NewCourses'!AR79</f>
        <v>0.25</v>
      </c>
      <c r="AF50" s="69">
        <f>'2025NewCourses'!AS79</f>
        <v>0</v>
      </c>
    </row>
    <row r="51" spans="1:32" x14ac:dyDescent="0.25">
      <c r="A51" t="s">
        <v>287</v>
      </c>
      <c r="D51" s="3">
        <f>SUM(Table39[Max])</f>
        <v>1.6500000000000001</v>
      </c>
      <c r="E51" s="1">
        <f>SUM(Table39[W])</f>
        <v>1.4000000000000001</v>
      </c>
      <c r="F51" s="1">
        <f>SUM(Table39[WW])</f>
        <v>1.55</v>
      </c>
      <c r="G51" s="1">
        <f>SUM(Table39[I])</f>
        <v>1.6500000000000001</v>
      </c>
      <c r="H51" s="1">
        <f>SUM(Table39[D])</f>
        <v>1.2</v>
      </c>
      <c r="I51" s="1">
        <f>SUM(Table39[C])</f>
        <v>0.55000000000000004</v>
      </c>
      <c r="X51" s="62" t="s">
        <v>94</v>
      </c>
      <c r="Y51" s="63" t="s">
        <v>305</v>
      </c>
      <c r="Z51" s="68" t="str">
        <f>'2025NewCourses'!AJ80</f>
        <v>25-06696-001</v>
      </c>
      <c r="AA51" s="68">
        <f>'2025NewCourses'!AN80</f>
        <v>0.2</v>
      </c>
      <c r="AB51" s="68">
        <f>'2025NewCourses'!AO80</f>
        <v>0.1</v>
      </c>
      <c r="AC51" s="68">
        <f>'2025NewCourses'!AP80</f>
        <v>0.1</v>
      </c>
      <c r="AD51" s="68">
        <f>'2025NewCourses'!AQ80</f>
        <v>0.1</v>
      </c>
      <c r="AE51" s="68">
        <f>'2025NewCourses'!AR80</f>
        <v>0.2</v>
      </c>
      <c r="AF51" s="69">
        <f>'2025NewCourses'!AS80</f>
        <v>0.1</v>
      </c>
    </row>
    <row r="52" spans="1:32" x14ac:dyDescent="0.25">
      <c r="X52" s="62" t="s">
        <v>95</v>
      </c>
      <c r="Y52" s="63" t="s">
        <v>293</v>
      </c>
      <c r="Z52" s="68" t="str">
        <f>'2025NewCourses'!AJ81</f>
        <v>25-06743-002</v>
      </c>
      <c r="AA52" s="68">
        <f>'2025NewCourses'!AN81</f>
        <v>0.3</v>
      </c>
      <c r="AB52" s="68">
        <f>'2025NewCourses'!AO81</f>
        <v>0.3</v>
      </c>
      <c r="AC52" s="68">
        <f>'2025NewCourses'!AP81</f>
        <v>0</v>
      </c>
      <c r="AD52" s="68">
        <f>'2025NewCourses'!AQ81</f>
        <v>0</v>
      </c>
      <c r="AE52" s="68">
        <f>'2025NewCourses'!AR81</f>
        <v>0.3</v>
      </c>
      <c r="AF52" s="69">
        <f>'2025NewCourses'!AS81</f>
        <v>0</v>
      </c>
    </row>
    <row r="53" spans="1:32" x14ac:dyDescent="0.25">
      <c r="A53" s="6" t="s">
        <v>2298</v>
      </c>
      <c r="I53" s="61">
        <f>(D67-0.3)*10*20*0.9</f>
        <v>270</v>
      </c>
      <c r="X53" s="62" t="s">
        <v>96</v>
      </c>
      <c r="Y53" s="63" t="s">
        <v>46</v>
      </c>
      <c r="Z53" s="68" t="str">
        <f>'2025NewCourses'!AJ82</f>
        <v>25-06039-001</v>
      </c>
      <c r="AA53" s="68">
        <f>'2025NewCourses'!AN82</f>
        <v>0.2</v>
      </c>
      <c r="AB53" s="68">
        <f>'2025NewCourses'!AO82</f>
        <v>0.2</v>
      </c>
      <c r="AC53" s="68">
        <f>'2025NewCourses'!AP82</f>
        <v>0.2</v>
      </c>
      <c r="AD53" s="68">
        <f>'2025NewCourses'!AQ82</f>
        <v>0.2</v>
      </c>
      <c r="AE53" s="68">
        <f>'2025NewCourses'!AR82</f>
        <v>0.2</v>
      </c>
      <c r="AF53" s="69">
        <f>'2025NewCourses'!AS82</f>
        <v>0.2</v>
      </c>
    </row>
    <row r="54" spans="1:32" x14ac:dyDescent="0.25">
      <c r="A54" t="s">
        <v>1956</v>
      </c>
      <c r="B54" t="s">
        <v>249</v>
      </c>
      <c r="C54" t="s">
        <v>1958</v>
      </c>
      <c r="D54" s="1" t="s">
        <v>1284</v>
      </c>
      <c r="E54" s="1" t="s">
        <v>22</v>
      </c>
      <c r="F54" s="1" t="s">
        <v>23</v>
      </c>
      <c r="G54" s="1" t="s">
        <v>26</v>
      </c>
      <c r="H54" s="1" t="s">
        <v>25</v>
      </c>
      <c r="I54" s="1" t="s">
        <v>24</v>
      </c>
      <c r="X54" s="62" t="s">
        <v>1939</v>
      </c>
      <c r="Y54" s="67" t="str">
        <f>'2025NewCourses'!D83</f>
        <v>Water Storage Tanks Part 1 - Components</v>
      </c>
      <c r="Z54" s="68" t="str">
        <f>'2025NewCourses'!AJ83</f>
        <v>25-10976-001</v>
      </c>
      <c r="AA54" s="68">
        <f>'2025NewCourses'!AN83</f>
        <v>0.1</v>
      </c>
      <c r="AB54" s="68">
        <f>'2025NewCourses'!AO83</f>
        <v>0.1</v>
      </c>
      <c r="AC54" s="68">
        <f>'2025NewCourses'!AP83</f>
        <v>0.1</v>
      </c>
      <c r="AD54" s="68">
        <f>'2025NewCourses'!AQ83</f>
        <v>0.1</v>
      </c>
      <c r="AE54" s="68">
        <f>'2025NewCourses'!AR83</f>
        <v>0.1</v>
      </c>
      <c r="AF54" s="69">
        <f>'2025NewCourses'!AS83</f>
        <v>0</v>
      </c>
    </row>
    <row r="55" spans="1:32" x14ac:dyDescent="0.25">
      <c r="A55" s="60" t="s">
        <v>94</v>
      </c>
      <c r="B55" t="str">
        <f t="shared" ref="B55:I62" si="18">LOOKUP($A55,$X:$X,Y:Y)</f>
        <v>Intro to Distribution Systems</v>
      </c>
      <c r="C55" t="str">
        <f t="shared" si="18"/>
        <v>25-06696-001</v>
      </c>
      <c r="D55" s="1">
        <f t="shared" si="18"/>
        <v>0.2</v>
      </c>
      <c r="E55" s="1">
        <f t="shared" si="18"/>
        <v>0.1</v>
      </c>
      <c r="F55" s="1">
        <f t="shared" si="18"/>
        <v>0.1</v>
      </c>
      <c r="G55" s="1">
        <f t="shared" si="18"/>
        <v>0.1</v>
      </c>
      <c r="H55" s="1">
        <f t="shared" si="18"/>
        <v>0.2</v>
      </c>
      <c r="I55" s="1">
        <f t="shared" si="18"/>
        <v>0.1</v>
      </c>
      <c r="X55" s="62" t="s">
        <v>2092</v>
      </c>
      <c r="Y55" s="67" t="str">
        <f>'2025NewCourses'!D84</f>
        <v>Water Storage Tanks Part 2 - Water Age and Quality</v>
      </c>
      <c r="Z55" s="68" t="str">
        <f>'2025NewCourses'!AJ84</f>
        <v>25-10977-001</v>
      </c>
      <c r="AA55" s="68">
        <f>'2025NewCourses'!AN84</f>
        <v>0.1</v>
      </c>
      <c r="AB55" s="68">
        <f>'2025NewCourses'!AO84</f>
        <v>0.1</v>
      </c>
      <c r="AC55" s="68">
        <f>'2025NewCourses'!AP84</f>
        <v>0.1</v>
      </c>
      <c r="AD55" s="68">
        <f>'2025NewCourses'!AQ84</f>
        <v>0.1</v>
      </c>
      <c r="AE55" s="68">
        <f>'2025NewCourses'!AR84</f>
        <v>0.1</v>
      </c>
      <c r="AF55" s="69">
        <f>'2025NewCourses'!AS84</f>
        <v>0</v>
      </c>
    </row>
    <row r="56" spans="1:32" x14ac:dyDescent="0.25">
      <c r="A56" s="60" t="s">
        <v>52</v>
      </c>
      <c r="B56" t="str">
        <f t="shared" si="18"/>
        <v>Pumps</v>
      </c>
      <c r="C56" t="str">
        <f t="shared" si="18"/>
        <v>25-06046-002</v>
      </c>
      <c r="D56" s="1">
        <f t="shared" si="18"/>
        <v>0.2</v>
      </c>
      <c r="E56" s="1">
        <f t="shared" si="18"/>
        <v>0.2</v>
      </c>
      <c r="F56" s="1">
        <f t="shared" si="18"/>
        <v>0.2</v>
      </c>
      <c r="G56" s="1">
        <f t="shared" si="18"/>
        <v>0.2</v>
      </c>
      <c r="H56" s="1">
        <f t="shared" si="18"/>
        <v>0.2</v>
      </c>
      <c r="I56" s="1">
        <f t="shared" si="18"/>
        <v>0.2</v>
      </c>
      <c r="X56" s="62" t="s">
        <v>2185</v>
      </c>
      <c r="Y56" s="67" t="str">
        <f>'2025NewCourses'!D85</f>
        <v>Water Storage Tanks Part 3 - Inspections</v>
      </c>
      <c r="Z56" s="68" t="str">
        <f>'2025NewCourses'!AJ85</f>
        <v>25-10978-001</v>
      </c>
      <c r="AA56" s="68">
        <f>'2025NewCourses'!AN85</f>
        <v>0.1</v>
      </c>
      <c r="AB56" s="68">
        <f>'2025NewCourses'!AO85</f>
        <v>0.1</v>
      </c>
      <c r="AC56" s="68">
        <f>'2025NewCourses'!AP85</f>
        <v>0.1</v>
      </c>
      <c r="AD56" s="68">
        <f>'2025NewCourses'!AQ85</f>
        <v>0.1</v>
      </c>
      <c r="AE56" s="68">
        <f>'2025NewCourses'!AR85</f>
        <v>0.1</v>
      </c>
      <c r="AF56" s="69">
        <f>'2025NewCourses'!AS85</f>
        <v>0</v>
      </c>
    </row>
    <row r="57" spans="1:32" x14ac:dyDescent="0.25">
      <c r="A57" s="60" t="s">
        <v>53</v>
      </c>
      <c r="B57" t="str">
        <f t="shared" si="18"/>
        <v>Hydraulics Basics</v>
      </c>
      <c r="C57" t="str">
        <f t="shared" si="18"/>
        <v>25-05990-001</v>
      </c>
      <c r="D57" s="1">
        <f t="shared" si="18"/>
        <v>0.15</v>
      </c>
      <c r="E57" s="1">
        <f t="shared" si="18"/>
        <v>0.15</v>
      </c>
      <c r="F57" s="1">
        <f t="shared" si="18"/>
        <v>0.15</v>
      </c>
      <c r="G57" s="1">
        <f t="shared" si="18"/>
        <v>0.15</v>
      </c>
      <c r="H57" s="1">
        <f t="shared" si="18"/>
        <v>0.15</v>
      </c>
      <c r="I57" s="1">
        <f t="shared" si="18"/>
        <v>0.15</v>
      </c>
      <c r="X57" s="62" t="s">
        <v>2186</v>
      </c>
      <c r="Y57" s="63" t="s">
        <v>1953</v>
      </c>
      <c r="Z57" s="68" t="str">
        <f>'2025NewCourses'!AJ86</f>
        <v>25-10672-001</v>
      </c>
      <c r="AA57" s="68">
        <f>'2025NewCourses'!AN86</f>
        <v>0.2</v>
      </c>
      <c r="AB57" s="68">
        <f>'2025NewCourses'!AO86</f>
        <v>0</v>
      </c>
      <c r="AC57" s="68">
        <f>'2025NewCourses'!AP86</f>
        <v>0</v>
      </c>
      <c r="AD57" s="68">
        <f>'2025NewCourses'!AQ86</f>
        <v>0</v>
      </c>
      <c r="AE57" s="68">
        <f>'2025NewCourses'!AR86</f>
        <v>0.2</v>
      </c>
      <c r="AF57" s="69">
        <f>'2025NewCourses'!AS86</f>
        <v>0.2</v>
      </c>
    </row>
    <row r="58" spans="1:32" x14ac:dyDescent="0.25">
      <c r="A58" s="60" t="s">
        <v>91</v>
      </c>
      <c r="B58" t="str">
        <f t="shared" si="18"/>
        <v>Water Sources Part 2</v>
      </c>
      <c r="C58" t="str">
        <f t="shared" si="18"/>
        <v>25-06036-001</v>
      </c>
      <c r="D58" s="1">
        <f t="shared" si="18"/>
        <v>0.1</v>
      </c>
      <c r="E58" s="1">
        <f t="shared" si="18"/>
        <v>0.1</v>
      </c>
      <c r="F58" s="1">
        <f t="shared" si="18"/>
        <v>0</v>
      </c>
      <c r="G58" s="1">
        <f t="shared" si="18"/>
        <v>0.1</v>
      </c>
      <c r="H58" s="1">
        <f t="shared" si="18"/>
        <v>0.1</v>
      </c>
      <c r="I58" s="1">
        <f t="shared" si="18"/>
        <v>0</v>
      </c>
      <c r="X58" s="62" t="s">
        <v>64</v>
      </c>
      <c r="Y58" s="63" t="s">
        <v>15</v>
      </c>
      <c r="Z58" s="68" t="str">
        <f>'2025NewCourses'!AJ39</f>
        <v>25-06006-001</v>
      </c>
      <c r="AA58" s="68">
        <f>'2025NewCourses'!AN39</f>
        <v>0.2</v>
      </c>
      <c r="AB58" s="68">
        <f>'2025NewCourses'!AO39</f>
        <v>0</v>
      </c>
      <c r="AC58" s="68">
        <f>'2025NewCourses'!AP39</f>
        <v>0.2</v>
      </c>
      <c r="AD58" s="68">
        <f>'2025NewCourses'!AQ39</f>
        <v>0.2</v>
      </c>
      <c r="AE58" s="68">
        <f>'2025NewCourses'!AR39</f>
        <v>0</v>
      </c>
      <c r="AF58" s="69">
        <f>'2025NewCourses'!AS39</f>
        <v>0</v>
      </c>
    </row>
    <row r="59" spans="1:32" x14ac:dyDescent="0.25">
      <c r="A59" s="60" t="s">
        <v>1056</v>
      </c>
      <c r="B59" t="str">
        <f t="shared" si="18"/>
        <v>Backflow Preventers</v>
      </c>
      <c r="C59" t="str">
        <f t="shared" si="18"/>
        <v>25-08959-001</v>
      </c>
      <c r="D59" s="1">
        <f t="shared" si="18"/>
        <v>0.05</v>
      </c>
      <c r="E59" s="1">
        <f t="shared" si="18"/>
        <v>0.05</v>
      </c>
      <c r="F59" s="1">
        <f t="shared" si="18"/>
        <v>0.05</v>
      </c>
      <c r="G59" s="1">
        <f t="shared" si="18"/>
        <v>0.05</v>
      </c>
      <c r="H59" s="1">
        <f t="shared" si="18"/>
        <v>0.05</v>
      </c>
      <c r="I59" s="1">
        <f t="shared" si="18"/>
        <v>0.05</v>
      </c>
      <c r="X59" s="62" t="s">
        <v>492</v>
      </c>
      <c r="Y59" s="63" t="s">
        <v>5</v>
      </c>
      <c r="Z59" s="68" t="str">
        <f>'2025NewCourses'!AJ40</f>
        <v>25-06007-001</v>
      </c>
      <c r="AA59" s="68">
        <f>'2025NewCourses'!AN40</f>
        <v>0.15</v>
      </c>
      <c r="AB59" s="68">
        <f>'2025NewCourses'!AO40</f>
        <v>0</v>
      </c>
      <c r="AC59" s="68">
        <f>'2025NewCourses'!AP40</f>
        <v>0.15</v>
      </c>
      <c r="AD59" s="68">
        <f>'2025NewCourses'!AQ40</f>
        <v>0.15</v>
      </c>
      <c r="AE59" s="68">
        <f>'2025NewCourses'!AR40</f>
        <v>0</v>
      </c>
      <c r="AF59" s="69">
        <f>'2025NewCourses'!AS40</f>
        <v>0</v>
      </c>
    </row>
    <row r="60" spans="1:32" x14ac:dyDescent="0.25">
      <c r="A60" s="60" t="s">
        <v>499</v>
      </c>
      <c r="B60" t="str">
        <f t="shared" si="18"/>
        <v>Laboratory - Chlorine Residual by DPD</v>
      </c>
      <c r="C60" t="str">
        <f t="shared" si="18"/>
        <v>25-07709-001</v>
      </c>
      <c r="D60" s="1">
        <f t="shared" si="18"/>
        <v>0.05</v>
      </c>
      <c r="E60" s="1">
        <f t="shared" si="18"/>
        <v>0.05</v>
      </c>
      <c r="F60" s="1">
        <f t="shared" si="18"/>
        <v>0.05</v>
      </c>
      <c r="G60" s="1">
        <f t="shared" si="18"/>
        <v>0.05</v>
      </c>
      <c r="H60" s="1">
        <f t="shared" si="18"/>
        <v>0.05</v>
      </c>
      <c r="I60" s="1">
        <f t="shared" si="18"/>
        <v>0</v>
      </c>
      <c r="X60" s="62" t="s">
        <v>65</v>
      </c>
      <c r="Y60" s="63" t="s">
        <v>1493</v>
      </c>
      <c r="Z60" s="68" t="str">
        <f>'2025NewCourses'!AJ41</f>
        <v>25-09381-001</v>
      </c>
      <c r="AA60" s="68">
        <f>'2025NewCourses'!AN41</f>
        <v>0.1</v>
      </c>
      <c r="AB60" s="68">
        <f>'2025NewCourses'!AO41</f>
        <v>0.05</v>
      </c>
      <c r="AC60" s="68">
        <f>'2025NewCourses'!AP41</f>
        <v>0.1</v>
      </c>
      <c r="AD60" s="68">
        <f>'2025NewCourses'!AQ41</f>
        <v>0.1</v>
      </c>
      <c r="AE60" s="68">
        <f>'2025NewCourses'!AR41</f>
        <v>0</v>
      </c>
      <c r="AF60" s="69">
        <f>'2025NewCourses'!AS41</f>
        <v>0.05</v>
      </c>
    </row>
    <row r="61" spans="1:32" x14ac:dyDescent="0.25">
      <c r="A61" s="60" t="str">
        <f>X49</f>
        <v>WATER-004</v>
      </c>
      <c r="B61" t="str">
        <f t="shared" si="18"/>
        <v>Drinking Water Treatment Part 1</v>
      </c>
      <c r="C61" t="str">
        <f t="shared" si="18"/>
        <v>25-06037-001</v>
      </c>
      <c r="D61" s="1">
        <f t="shared" si="18"/>
        <v>0.25</v>
      </c>
      <c r="E61" s="1">
        <f t="shared" si="18"/>
        <v>0.25</v>
      </c>
      <c r="F61" s="1">
        <f t="shared" si="18"/>
        <v>0</v>
      </c>
      <c r="G61" s="1">
        <f t="shared" si="18"/>
        <v>0</v>
      </c>
      <c r="H61" s="1">
        <f t="shared" si="18"/>
        <v>0</v>
      </c>
      <c r="I61" s="1">
        <f t="shared" si="18"/>
        <v>0</v>
      </c>
      <c r="X61" s="62" t="s">
        <v>66</v>
      </c>
      <c r="Y61" s="63" t="s">
        <v>1950</v>
      </c>
      <c r="Z61" s="68" t="str">
        <f>'2025NewCourses'!AJ42</f>
        <v>25-09382-001</v>
      </c>
      <c r="AA61" s="68">
        <f>'2025NewCourses'!AN42</f>
        <v>0.2</v>
      </c>
      <c r="AB61" s="68">
        <f>'2025NewCourses'!AO42</f>
        <v>0</v>
      </c>
      <c r="AC61" s="68">
        <f>'2025NewCourses'!AP42</f>
        <v>0.2</v>
      </c>
      <c r="AD61" s="68">
        <f>'2025NewCourses'!AQ42</f>
        <v>0.2</v>
      </c>
      <c r="AE61" s="68">
        <f>'2025NewCourses'!AR42</f>
        <v>0</v>
      </c>
      <c r="AF61" s="69">
        <f>'2025NewCourses'!AS42</f>
        <v>0</v>
      </c>
    </row>
    <row r="62" spans="1:32" x14ac:dyDescent="0.25">
      <c r="A62" s="60" t="s">
        <v>95</v>
      </c>
      <c r="B62" t="str">
        <f t="shared" si="18"/>
        <v>MRT Drinking Water Regulatory Course</v>
      </c>
      <c r="C62" t="str">
        <f t="shared" si="18"/>
        <v>25-06743-002</v>
      </c>
      <c r="D62" s="1">
        <f t="shared" si="18"/>
        <v>0.3</v>
      </c>
      <c r="E62" s="1">
        <f t="shared" si="18"/>
        <v>0.3</v>
      </c>
      <c r="F62" s="1">
        <f t="shared" si="18"/>
        <v>0</v>
      </c>
      <c r="G62" s="1">
        <f t="shared" si="18"/>
        <v>0</v>
      </c>
      <c r="H62" s="1">
        <f t="shared" si="18"/>
        <v>0.3</v>
      </c>
      <c r="I62" s="1">
        <f t="shared" si="18"/>
        <v>0</v>
      </c>
      <c r="X62" s="62" t="s">
        <v>67</v>
      </c>
      <c r="Y62" s="63" t="s">
        <v>308</v>
      </c>
      <c r="Z62" s="68" t="str">
        <f>'2025NewCourses'!AJ43</f>
        <v>25-07222-001</v>
      </c>
      <c r="AA62" s="68">
        <f>'2025NewCourses'!AN43</f>
        <v>0.15</v>
      </c>
      <c r="AB62" s="68">
        <f>'2025NewCourses'!AO43</f>
        <v>0</v>
      </c>
      <c r="AC62" s="68">
        <f>'2025NewCourses'!AP43</f>
        <v>0.15</v>
      </c>
      <c r="AD62" s="68">
        <f>'2025NewCourses'!AQ43</f>
        <v>0.15</v>
      </c>
      <c r="AE62" s="68">
        <f>'2025NewCourses'!AR43</f>
        <v>0</v>
      </c>
      <c r="AF62" s="69">
        <f>'2025NewCourses'!AS43</f>
        <v>0</v>
      </c>
    </row>
    <row r="63" spans="1:32" x14ac:dyDescent="0.25">
      <c r="A63" t="str">
        <f>X54</f>
        <v>WATER-009</v>
      </c>
      <c r="B63" t="str">
        <f t="shared" ref="B63:B64" si="19">LOOKUP($A63,$X:$X,Y:Y)</f>
        <v>Water Storage Tanks Part 1 - Components</v>
      </c>
      <c r="C63" t="str">
        <f t="shared" ref="C63:I63" si="20">LOOKUP($A63,$X:$X,Z:Z)</f>
        <v>25-10976-001</v>
      </c>
      <c r="D63" s="1">
        <f t="shared" si="20"/>
        <v>0.1</v>
      </c>
      <c r="E63" s="1">
        <f t="shared" si="20"/>
        <v>0.1</v>
      </c>
      <c r="F63" s="1">
        <f t="shared" si="20"/>
        <v>0.1</v>
      </c>
      <c r="G63" s="1">
        <f t="shared" si="20"/>
        <v>0.1</v>
      </c>
      <c r="H63" s="1">
        <f t="shared" si="20"/>
        <v>0.1</v>
      </c>
      <c r="I63" s="1">
        <f t="shared" si="20"/>
        <v>0</v>
      </c>
      <c r="X63" s="62" t="s">
        <v>68</v>
      </c>
      <c r="Y63" s="63" t="s">
        <v>40</v>
      </c>
      <c r="Z63" s="68" t="str">
        <f>'2025NewCourses'!AJ44</f>
        <v>25-06008-001</v>
      </c>
      <c r="AA63" s="68">
        <f>'2025NewCourses'!AN44</f>
        <v>0.2</v>
      </c>
      <c r="AB63" s="68">
        <f>'2025NewCourses'!AO44</f>
        <v>0</v>
      </c>
      <c r="AC63" s="68">
        <f>'2025NewCourses'!AP44</f>
        <v>0.2</v>
      </c>
      <c r="AD63" s="68">
        <f>'2025NewCourses'!AQ44</f>
        <v>0.2</v>
      </c>
      <c r="AE63" s="68">
        <f>'2025NewCourses'!AR44</f>
        <v>0</v>
      </c>
      <c r="AF63" s="69">
        <f>'2025NewCourses'!AS44</f>
        <v>0</v>
      </c>
    </row>
    <row r="64" spans="1:32" x14ac:dyDescent="0.25">
      <c r="A64" t="str">
        <f>X50</f>
        <v>WATER-005</v>
      </c>
      <c r="B64" t="str">
        <f t="shared" si="19"/>
        <v>Water Treatment Part 2 (Disinfection, Water Focus)</v>
      </c>
      <c r="C64" t="str">
        <f t="shared" ref="C64:I64" si="21">Z54</f>
        <v>25-10976-001</v>
      </c>
      <c r="D64" s="1">
        <f t="shared" si="21"/>
        <v>0.1</v>
      </c>
      <c r="E64" s="1">
        <f t="shared" si="21"/>
        <v>0.1</v>
      </c>
      <c r="F64" s="1">
        <f t="shared" si="21"/>
        <v>0.1</v>
      </c>
      <c r="G64" s="1">
        <f t="shared" si="21"/>
        <v>0.1</v>
      </c>
      <c r="H64" s="1">
        <f t="shared" si="21"/>
        <v>0.1</v>
      </c>
      <c r="I64" s="1">
        <f t="shared" si="21"/>
        <v>0</v>
      </c>
      <c r="X64" s="62" t="s">
        <v>2212</v>
      </c>
      <c r="Y64" s="67" t="s">
        <v>2213</v>
      </c>
      <c r="Z64" s="68"/>
      <c r="AA64" s="68"/>
      <c r="AB64" s="68"/>
      <c r="AC64" s="68"/>
      <c r="AD64" s="68"/>
      <c r="AE64" s="68"/>
      <c r="AF64" s="69"/>
    </row>
    <row r="65" spans="1:32" x14ac:dyDescent="0.25">
      <c r="A65" t="s">
        <v>489</v>
      </c>
      <c r="B65" t="str">
        <f t="shared" ref="B65:I66" si="22">LOOKUP($A65,$X:$X,Y:Y)</f>
        <v>Maintenance</v>
      </c>
      <c r="C65" t="str">
        <f t="shared" si="22"/>
        <v>25-05993-001</v>
      </c>
      <c r="D65" s="1">
        <f t="shared" si="22"/>
        <v>0.15</v>
      </c>
      <c r="E65" s="1">
        <f t="shared" si="22"/>
        <v>0.15</v>
      </c>
      <c r="F65" s="1">
        <f t="shared" si="22"/>
        <v>0.15</v>
      </c>
      <c r="G65" s="1">
        <f t="shared" si="22"/>
        <v>0.15</v>
      </c>
      <c r="H65" s="1">
        <f t="shared" si="22"/>
        <v>0.15</v>
      </c>
      <c r="I65" s="1">
        <f t="shared" si="22"/>
        <v>0.15</v>
      </c>
      <c r="J65" s="25"/>
      <c r="X65" s="62" t="s">
        <v>69</v>
      </c>
      <c r="Y65" s="63" t="s">
        <v>152</v>
      </c>
      <c r="Z65" s="68" t="str">
        <f>'2025NewCourses'!AJ45</f>
        <v>25-06009-001</v>
      </c>
      <c r="AA65" s="68">
        <f>'2025NewCourses'!AN45</f>
        <v>0.25</v>
      </c>
      <c r="AB65" s="68">
        <f>'2025NewCourses'!AO45</f>
        <v>0</v>
      </c>
      <c r="AC65" s="68">
        <f>'2025NewCourses'!AP45</f>
        <v>0.25</v>
      </c>
      <c r="AD65" s="68">
        <f>'2025NewCourses'!AQ45</f>
        <v>0.25</v>
      </c>
      <c r="AE65" s="68">
        <f>'2025NewCourses'!AR45</f>
        <v>0</v>
      </c>
      <c r="AF65" s="69">
        <f>'2025NewCourses'!AS45</f>
        <v>0</v>
      </c>
    </row>
    <row r="66" spans="1:32" x14ac:dyDescent="0.25">
      <c r="A66" t="s">
        <v>107</v>
      </c>
      <c r="B66" t="str">
        <f t="shared" si="22"/>
        <v>Electrical Fundamentals</v>
      </c>
      <c r="C66" t="str">
        <f t="shared" si="22"/>
        <v>25-05994-001</v>
      </c>
      <c r="D66" s="1">
        <f t="shared" si="22"/>
        <v>0.15</v>
      </c>
      <c r="E66" s="1">
        <f t="shared" si="22"/>
        <v>0.15</v>
      </c>
      <c r="F66" s="1">
        <f t="shared" si="22"/>
        <v>0.15</v>
      </c>
      <c r="G66" s="1">
        <f t="shared" si="22"/>
        <v>0.15</v>
      </c>
      <c r="H66" s="1">
        <f t="shared" si="22"/>
        <v>0.15</v>
      </c>
      <c r="I66" s="1">
        <f t="shared" si="22"/>
        <v>0.15</v>
      </c>
      <c r="X66" s="62" t="s">
        <v>1793</v>
      </c>
      <c r="Y66" s="63" t="s">
        <v>1794</v>
      </c>
      <c r="Z66" s="68" t="str">
        <f>'2025NewCourses'!AJ46</f>
        <v>25-10618-001</v>
      </c>
      <c r="AA66" s="68">
        <f>'2025NewCourses'!AN46</f>
        <v>0.2</v>
      </c>
      <c r="AB66" s="68">
        <f>'2025NewCourses'!AO46</f>
        <v>0</v>
      </c>
      <c r="AC66" s="68">
        <f>'2025NewCourses'!AP46</f>
        <v>0.2</v>
      </c>
      <c r="AD66" s="68">
        <f>'2025NewCourses'!AQ46</f>
        <v>0.2</v>
      </c>
      <c r="AE66" s="68">
        <f>'2025NewCourses'!AR46</f>
        <v>0</v>
      </c>
      <c r="AF66" s="69">
        <f>'2025NewCourses'!AS46</f>
        <v>0</v>
      </c>
    </row>
    <row r="67" spans="1:32" x14ac:dyDescent="0.25">
      <c r="A67" t="s">
        <v>287</v>
      </c>
      <c r="D67" s="1">
        <f>SUM(Table3910[Max])</f>
        <v>1.8</v>
      </c>
      <c r="E67" s="1">
        <f>SUM(Table3910[W])</f>
        <v>1.7000000000000002</v>
      </c>
      <c r="F67" s="1">
        <f>SUM(Table3910[WW])</f>
        <v>1.05</v>
      </c>
      <c r="G67" s="1">
        <f>SUM(Table3910[I])</f>
        <v>1.1499999999999999</v>
      </c>
      <c r="H67" s="1">
        <f>SUM(Table3910[D])</f>
        <v>1.55</v>
      </c>
      <c r="I67" s="1">
        <f>SUM(Table3910[C])</f>
        <v>0.80000000000000016</v>
      </c>
      <c r="X67" s="62" t="s">
        <v>1786</v>
      </c>
      <c r="Y67" s="63" t="s">
        <v>1785</v>
      </c>
      <c r="Z67" s="68" t="str">
        <f>'2025NewCourses'!AJ47</f>
        <v>25-10616-001</v>
      </c>
      <c r="AA67" s="68">
        <f>'2025NewCourses'!AN47</f>
        <v>0.1</v>
      </c>
      <c r="AB67" s="68">
        <f>'2025NewCourses'!AO47</f>
        <v>0</v>
      </c>
      <c r="AC67" s="68">
        <f>'2025NewCourses'!AP47</f>
        <v>0.1</v>
      </c>
      <c r="AD67" s="68">
        <f>'2025NewCourses'!AQ47</f>
        <v>0.1</v>
      </c>
      <c r="AE67" s="68">
        <f>'2025NewCourses'!AR47</f>
        <v>0</v>
      </c>
      <c r="AF67" s="69">
        <f>'2025NewCourses'!AS47</f>
        <v>0</v>
      </c>
    </row>
    <row r="68" spans="1:32" x14ac:dyDescent="0.25">
      <c r="X68" s="62" t="s">
        <v>70</v>
      </c>
      <c r="Y68" s="63" t="s">
        <v>153</v>
      </c>
      <c r="Z68" s="68" t="str">
        <f>'2025NewCourses'!AJ48</f>
        <v>25-06010-001</v>
      </c>
      <c r="AA68" s="68">
        <f>'2025NewCourses'!AN48</f>
        <v>0.2</v>
      </c>
      <c r="AB68" s="68">
        <f>'2025NewCourses'!AO48</f>
        <v>0</v>
      </c>
      <c r="AC68" s="68">
        <f>'2025NewCourses'!AP48</f>
        <v>0.2</v>
      </c>
      <c r="AD68" s="68">
        <f>'2025NewCourses'!AQ48</f>
        <v>0.2</v>
      </c>
      <c r="AE68" s="68">
        <f>'2025NewCourses'!AR48</f>
        <v>0</v>
      </c>
      <c r="AF68" s="69">
        <f>'2025NewCourses'!AS48</f>
        <v>0</v>
      </c>
    </row>
    <row r="69" spans="1:32" x14ac:dyDescent="0.25">
      <c r="A69" s="6" t="s">
        <v>2299</v>
      </c>
      <c r="I69" s="61">
        <f>(D77-0.3)*10*20*0.9</f>
        <v>180</v>
      </c>
      <c r="X69" s="62" t="s">
        <v>71</v>
      </c>
      <c r="Y69" s="63" t="s">
        <v>4</v>
      </c>
      <c r="Z69" s="68" t="str">
        <f>'2025NewCourses'!AJ49</f>
        <v>25-06011-002</v>
      </c>
      <c r="AA69" s="68">
        <f>'2025NewCourses'!AN49</f>
        <v>0.3</v>
      </c>
      <c r="AB69" s="68">
        <f>'2025NewCourses'!AO49</f>
        <v>0</v>
      </c>
      <c r="AC69" s="68">
        <f>'2025NewCourses'!AP49</f>
        <v>0.3</v>
      </c>
      <c r="AD69" s="68">
        <f>'2025NewCourses'!AQ49</f>
        <v>0.3</v>
      </c>
      <c r="AE69" s="68">
        <f>'2025NewCourses'!AR49</f>
        <v>0</v>
      </c>
      <c r="AF69" s="69">
        <f>'2025NewCourses'!AS49</f>
        <v>0</v>
      </c>
    </row>
    <row r="70" spans="1:32" x14ac:dyDescent="0.25">
      <c r="A70" t="s">
        <v>1956</v>
      </c>
      <c r="B70" t="s">
        <v>249</v>
      </c>
      <c r="C70" t="s">
        <v>1958</v>
      </c>
      <c r="D70" s="1" t="s">
        <v>1284</v>
      </c>
      <c r="E70" s="1" t="s">
        <v>22</v>
      </c>
      <c r="F70" s="1" t="s">
        <v>23</v>
      </c>
      <c r="G70" s="1" t="s">
        <v>26</v>
      </c>
      <c r="H70" s="1" t="s">
        <v>25</v>
      </c>
      <c r="I70" s="1" t="s">
        <v>24</v>
      </c>
      <c r="X70" s="62" t="s">
        <v>72</v>
      </c>
      <c r="Y70" s="63" t="s">
        <v>41</v>
      </c>
      <c r="Z70" s="68" t="str">
        <f>'2025NewCourses'!AJ50</f>
        <v>25-06012-001</v>
      </c>
      <c r="AA70" s="68">
        <f>'2025NewCourses'!AN50</f>
        <v>0.2</v>
      </c>
      <c r="AB70" s="68">
        <f>'2025NewCourses'!AO50</f>
        <v>0</v>
      </c>
      <c r="AC70" s="68">
        <f>'2025NewCourses'!AP50</f>
        <v>0.2</v>
      </c>
      <c r="AD70" s="68">
        <f>'2025NewCourses'!AQ50</f>
        <v>0.2</v>
      </c>
      <c r="AE70" s="68">
        <f>'2025NewCourses'!AR50</f>
        <v>0</v>
      </c>
      <c r="AF70" s="69">
        <f>'2025NewCourses'!AS50</f>
        <v>0</v>
      </c>
    </row>
    <row r="71" spans="1:32" x14ac:dyDescent="0.25">
      <c r="A71" s="60" t="s">
        <v>52</v>
      </c>
      <c r="B71" t="str">
        <f t="shared" ref="B71:I76" si="23">LOOKUP($A71,$X:$X,Y:Y)</f>
        <v>Pumps</v>
      </c>
      <c r="C71" t="str">
        <f t="shared" si="23"/>
        <v>25-06046-002</v>
      </c>
      <c r="D71" s="1">
        <f t="shared" si="23"/>
        <v>0.2</v>
      </c>
      <c r="E71" s="1">
        <f t="shared" si="23"/>
        <v>0.2</v>
      </c>
      <c r="F71" s="1">
        <f t="shared" si="23"/>
        <v>0.2</v>
      </c>
      <c r="G71" s="1">
        <f t="shared" si="23"/>
        <v>0.2</v>
      </c>
      <c r="H71" s="1">
        <f t="shared" si="23"/>
        <v>0.2</v>
      </c>
      <c r="I71" s="1">
        <f t="shared" si="23"/>
        <v>0.2</v>
      </c>
      <c r="X71" s="62" t="s">
        <v>73</v>
      </c>
      <c r="Y71" s="63" t="s">
        <v>1954</v>
      </c>
      <c r="Z71" s="68" t="str">
        <f>'2025NewCourses'!AJ51</f>
        <v>25-07727-001</v>
      </c>
      <c r="AA71" s="68">
        <f>'2025NewCourses'!AN51</f>
        <v>0.25</v>
      </c>
      <c r="AB71" s="68">
        <f>'2025NewCourses'!AO51</f>
        <v>0</v>
      </c>
      <c r="AC71" s="68">
        <f>'2025NewCourses'!AP51</f>
        <v>0.25</v>
      </c>
      <c r="AD71" s="68">
        <f>'2025NewCourses'!AQ51</f>
        <v>0.25</v>
      </c>
      <c r="AE71" s="68">
        <f>'2025NewCourses'!AR51</f>
        <v>0</v>
      </c>
      <c r="AF71" s="69">
        <f>'2025NewCourses'!AS51</f>
        <v>0</v>
      </c>
    </row>
    <row r="72" spans="1:32" x14ac:dyDescent="0.25">
      <c r="A72" s="60" t="s">
        <v>91</v>
      </c>
      <c r="B72" t="str">
        <f t="shared" si="23"/>
        <v>Water Sources Part 2</v>
      </c>
      <c r="C72" t="str">
        <f t="shared" si="23"/>
        <v>25-06036-001</v>
      </c>
      <c r="D72" s="1">
        <f t="shared" si="23"/>
        <v>0.1</v>
      </c>
      <c r="E72" s="1">
        <f t="shared" si="23"/>
        <v>0.1</v>
      </c>
      <c r="F72" s="1">
        <f t="shared" si="23"/>
        <v>0</v>
      </c>
      <c r="G72" s="1">
        <f t="shared" si="23"/>
        <v>0.1</v>
      </c>
      <c r="H72" s="1">
        <f t="shared" si="23"/>
        <v>0.1</v>
      </c>
      <c r="I72" s="1">
        <f t="shared" si="23"/>
        <v>0</v>
      </c>
      <c r="X72" s="62" t="s">
        <v>939</v>
      </c>
      <c r="Y72" s="63" t="s">
        <v>938</v>
      </c>
      <c r="Z72" s="68" t="str">
        <f>'2025NewCourses'!AJ52</f>
        <v>25-08900-001</v>
      </c>
      <c r="AA72" s="68">
        <f>'2025NewCourses'!AN52</f>
        <v>0.1</v>
      </c>
      <c r="AB72" s="68">
        <f>'2025NewCourses'!AO52</f>
        <v>0</v>
      </c>
      <c r="AC72" s="68">
        <f>'2025NewCourses'!AP52</f>
        <v>0.1</v>
      </c>
      <c r="AD72" s="68">
        <f>'2025NewCourses'!AQ52</f>
        <v>0.1</v>
      </c>
      <c r="AE72" s="68">
        <f>'2025NewCourses'!AR52</f>
        <v>0</v>
      </c>
      <c r="AF72" s="69">
        <f>'2025NewCourses'!AS52</f>
        <v>0</v>
      </c>
    </row>
    <row r="73" spans="1:32" x14ac:dyDescent="0.25">
      <c r="A73" s="60" t="s">
        <v>92</v>
      </c>
      <c r="B73" t="str">
        <f t="shared" si="23"/>
        <v>Drinking Water Treatment Part 1</v>
      </c>
      <c r="C73" t="str">
        <f t="shared" si="23"/>
        <v>25-06037-001</v>
      </c>
      <c r="D73" s="1">
        <f t="shared" si="23"/>
        <v>0.25</v>
      </c>
      <c r="E73" s="1">
        <f t="shared" si="23"/>
        <v>0.25</v>
      </c>
      <c r="F73" s="1">
        <f t="shared" si="23"/>
        <v>0</v>
      </c>
      <c r="G73" s="1">
        <f t="shared" si="23"/>
        <v>0</v>
      </c>
      <c r="H73" s="1">
        <f t="shared" si="23"/>
        <v>0</v>
      </c>
      <c r="I73" s="1">
        <f t="shared" si="23"/>
        <v>0</v>
      </c>
      <c r="X73" s="62" t="s">
        <v>940</v>
      </c>
      <c r="Y73" s="63" t="s">
        <v>942</v>
      </c>
      <c r="Z73" s="68" t="str">
        <f>'2025NewCourses'!AJ53</f>
        <v>25-08901-001</v>
      </c>
      <c r="AA73" s="68">
        <f>'2025NewCourses'!AN53</f>
        <v>0.1</v>
      </c>
      <c r="AB73" s="68">
        <f>'2025NewCourses'!AO53</f>
        <v>0</v>
      </c>
      <c r="AC73" s="68">
        <f>'2025NewCourses'!AP53</f>
        <v>0.1</v>
      </c>
      <c r="AD73" s="68">
        <f>'2025NewCourses'!AQ53</f>
        <v>0.1</v>
      </c>
      <c r="AE73" s="68">
        <f>'2025NewCourses'!AR53</f>
        <v>0</v>
      </c>
      <c r="AF73" s="69">
        <f>'2025NewCourses'!AS53</f>
        <v>0</v>
      </c>
    </row>
    <row r="74" spans="1:32" x14ac:dyDescent="0.25">
      <c r="A74" s="60" t="s">
        <v>93</v>
      </c>
      <c r="B74" t="str">
        <f t="shared" si="23"/>
        <v>Water Treatment Part 2 (Disinfection, Water Focus)</v>
      </c>
      <c r="C74" t="str">
        <f t="shared" si="23"/>
        <v>25-06038-001</v>
      </c>
      <c r="D74" s="1">
        <f t="shared" si="23"/>
        <v>0.25</v>
      </c>
      <c r="E74" s="1">
        <f t="shared" si="23"/>
        <v>0.25</v>
      </c>
      <c r="F74" s="1">
        <f t="shared" si="23"/>
        <v>0.25</v>
      </c>
      <c r="G74" s="1">
        <f t="shared" si="23"/>
        <v>0.25</v>
      </c>
      <c r="H74" s="1">
        <f t="shared" si="23"/>
        <v>0.25</v>
      </c>
      <c r="I74" s="1">
        <f t="shared" si="23"/>
        <v>0</v>
      </c>
      <c r="X74" s="62" t="s">
        <v>74</v>
      </c>
      <c r="Y74" s="63" t="s">
        <v>944</v>
      </c>
      <c r="Z74" s="68" t="str">
        <f>'2025NewCourses'!AJ54</f>
        <v>25-08902-001</v>
      </c>
      <c r="AA74" s="68">
        <f>'2025NewCourses'!AN54</f>
        <v>0.1</v>
      </c>
      <c r="AB74" s="68">
        <f>'2025NewCourses'!AO54</f>
        <v>0</v>
      </c>
      <c r="AC74" s="68">
        <f>'2025NewCourses'!AP54</f>
        <v>0.1</v>
      </c>
      <c r="AD74" s="68">
        <f>'2025NewCourses'!AQ54</f>
        <v>0.1</v>
      </c>
      <c r="AE74" s="68">
        <f>'2025NewCourses'!AR54</f>
        <v>0</v>
      </c>
      <c r="AF74" s="69">
        <f>'2025NewCourses'!AS54</f>
        <v>0</v>
      </c>
    </row>
    <row r="75" spans="1:32" x14ac:dyDescent="0.25">
      <c r="A75" s="60" t="s">
        <v>94</v>
      </c>
      <c r="B75" t="str">
        <f t="shared" si="23"/>
        <v>Intro to Distribution Systems</v>
      </c>
      <c r="C75" t="str">
        <f t="shared" si="23"/>
        <v>25-06696-001</v>
      </c>
      <c r="D75" s="1">
        <f t="shared" si="23"/>
        <v>0.2</v>
      </c>
      <c r="E75" s="1">
        <f t="shared" si="23"/>
        <v>0.1</v>
      </c>
      <c r="F75" s="1">
        <f t="shared" si="23"/>
        <v>0.1</v>
      </c>
      <c r="G75" s="1">
        <f t="shared" si="23"/>
        <v>0.1</v>
      </c>
      <c r="H75" s="1">
        <f t="shared" si="23"/>
        <v>0.2</v>
      </c>
      <c r="I75" s="1">
        <f t="shared" si="23"/>
        <v>0.1</v>
      </c>
      <c r="X75" s="62" t="s">
        <v>75</v>
      </c>
      <c r="Y75" s="63" t="s">
        <v>6</v>
      </c>
      <c r="Z75" s="68" t="str">
        <f>'2025NewCourses'!AJ55</f>
        <v>25-06015-001</v>
      </c>
      <c r="AA75" s="68">
        <f>'2025NewCourses'!AN55</f>
        <v>0.15</v>
      </c>
      <c r="AB75" s="68">
        <f>'2025NewCourses'!AO55</f>
        <v>0</v>
      </c>
      <c r="AC75" s="68">
        <f>'2025NewCourses'!AP55</f>
        <v>0.15</v>
      </c>
      <c r="AD75" s="68">
        <f>'2025NewCourses'!AQ55</f>
        <v>0.15</v>
      </c>
      <c r="AE75" s="68">
        <f>'2025NewCourses'!AR55</f>
        <v>0</v>
      </c>
      <c r="AF75" s="69">
        <f>'2025NewCourses'!AS55</f>
        <v>0</v>
      </c>
    </row>
    <row r="76" spans="1:32" x14ac:dyDescent="0.25">
      <c r="A76" t="s">
        <v>95</v>
      </c>
      <c r="B76" t="str">
        <f t="shared" si="23"/>
        <v>MRT Drinking Water Regulatory Course</v>
      </c>
      <c r="C76" t="str">
        <f t="shared" si="23"/>
        <v>25-06743-002</v>
      </c>
      <c r="D76" s="1">
        <f t="shared" si="23"/>
        <v>0.3</v>
      </c>
      <c r="E76" s="1">
        <f t="shared" si="23"/>
        <v>0.3</v>
      </c>
      <c r="F76" s="1">
        <f t="shared" si="23"/>
        <v>0</v>
      </c>
      <c r="G76" s="1">
        <f t="shared" si="23"/>
        <v>0</v>
      </c>
      <c r="H76" s="1">
        <f t="shared" si="23"/>
        <v>0.3</v>
      </c>
      <c r="I76" s="1">
        <f t="shared" si="23"/>
        <v>0</v>
      </c>
      <c r="X76" s="62" t="s">
        <v>76</v>
      </c>
      <c r="Y76" s="63" t="s">
        <v>1296</v>
      </c>
      <c r="Z76" s="68" t="str">
        <f>'2025NewCourses'!AJ56</f>
        <v>25-11101-001</v>
      </c>
      <c r="AA76" s="68">
        <f>'2025NewCourses'!AN56</f>
        <v>0.2</v>
      </c>
      <c r="AB76" s="68">
        <f>'2025NewCourses'!AO56</f>
        <v>0</v>
      </c>
      <c r="AC76" s="68">
        <f>'2025NewCourses'!AP56</f>
        <v>0.2</v>
      </c>
      <c r="AD76" s="68">
        <f>'2025NewCourses'!AQ56</f>
        <v>0.2</v>
      </c>
      <c r="AE76" s="68">
        <f>'2025NewCourses'!AR56</f>
        <v>0</v>
      </c>
      <c r="AF76" s="69">
        <f>'2025NewCourses'!AS56</f>
        <v>0</v>
      </c>
    </row>
    <row r="77" spans="1:32" x14ac:dyDescent="0.25">
      <c r="A77" t="s">
        <v>287</v>
      </c>
      <c r="D77" s="1">
        <f>SUM(Table391012[Max])</f>
        <v>1.3</v>
      </c>
      <c r="E77" s="1">
        <f>SUM(Table391012[W])</f>
        <v>1.2</v>
      </c>
      <c r="F77" s="1">
        <f>SUM(Table391012[WW])</f>
        <v>0.55000000000000004</v>
      </c>
      <c r="G77" s="1">
        <f>SUM(Table391012[I])</f>
        <v>0.65</v>
      </c>
      <c r="H77" s="1">
        <f>SUM(Table391012[D])</f>
        <v>1.05</v>
      </c>
      <c r="I77" s="1">
        <f>SUM(Table391012[C])</f>
        <v>0.30000000000000004</v>
      </c>
      <c r="X77" s="62" t="s">
        <v>77</v>
      </c>
      <c r="Y77" s="63" t="s">
        <v>8</v>
      </c>
      <c r="Z77" s="68" t="str">
        <f>'2025NewCourses'!AJ57</f>
        <v>25-06016-001</v>
      </c>
      <c r="AA77" s="68">
        <f>'2025NewCourses'!AN57</f>
        <v>0.3</v>
      </c>
      <c r="AB77" s="68">
        <f>'2025NewCourses'!AO57</f>
        <v>0.3</v>
      </c>
      <c r="AC77" s="68">
        <f>'2025NewCourses'!AP57</f>
        <v>0.3</v>
      </c>
      <c r="AD77" s="68">
        <f>'2025NewCourses'!AQ57</f>
        <v>0.3</v>
      </c>
      <c r="AE77" s="68">
        <f>'2025NewCourses'!AR57</f>
        <v>0</v>
      </c>
      <c r="AF77" s="69">
        <f>'2025NewCourses'!AS57</f>
        <v>0</v>
      </c>
    </row>
    <row r="78" spans="1:32" x14ac:dyDescent="0.25">
      <c r="X78" s="62" t="s">
        <v>78</v>
      </c>
      <c r="Y78" s="63" t="s">
        <v>9</v>
      </c>
      <c r="Z78" s="68" t="str">
        <f>'2025NewCourses'!AJ58</f>
        <v>25-06017-001</v>
      </c>
      <c r="AA78" s="68">
        <f>'2025NewCourses'!AN58</f>
        <v>0.2</v>
      </c>
      <c r="AB78" s="68">
        <f>'2025NewCourses'!AO58</f>
        <v>0</v>
      </c>
      <c r="AC78" s="68">
        <f>'2025NewCourses'!AP58</f>
        <v>0.2</v>
      </c>
      <c r="AD78" s="68">
        <f>'2025NewCourses'!AQ58</f>
        <v>0.2</v>
      </c>
      <c r="AE78" s="68">
        <f>'2025NewCourses'!AR58</f>
        <v>0</v>
      </c>
      <c r="AF78" s="69">
        <f>'2025NewCourses'!AS58</f>
        <v>0</v>
      </c>
    </row>
    <row r="79" spans="1:32" x14ac:dyDescent="0.25">
      <c r="A79" s="6" t="s">
        <v>2300</v>
      </c>
      <c r="I79" s="61">
        <f>(D91-0.3)*10*20*0.9</f>
        <v>287.99999999999994</v>
      </c>
      <c r="X79" s="62" t="s">
        <v>79</v>
      </c>
      <c r="Y79" s="63" t="s">
        <v>154</v>
      </c>
      <c r="Z79" s="68" t="str">
        <f>'2025NewCourses'!AJ59</f>
        <v>25-06018-001</v>
      </c>
      <c r="AA79" s="68">
        <f>'2025NewCourses'!AN59</f>
        <v>0.15</v>
      </c>
      <c r="AB79" s="68">
        <f>'2025NewCourses'!AO59</f>
        <v>0.15</v>
      </c>
      <c r="AC79" s="68">
        <f>'2025NewCourses'!AP59</f>
        <v>0.15</v>
      </c>
      <c r="AD79" s="68">
        <f>'2025NewCourses'!AQ59</f>
        <v>0.15</v>
      </c>
      <c r="AE79" s="68">
        <f>'2025NewCourses'!AR59</f>
        <v>0</v>
      </c>
      <c r="AF79" s="69">
        <f>'2025NewCourses'!AS59</f>
        <v>0</v>
      </c>
    </row>
    <row r="80" spans="1:32" x14ac:dyDescent="0.25">
      <c r="A80" t="s">
        <v>1956</v>
      </c>
      <c r="B80" t="s">
        <v>249</v>
      </c>
      <c r="C80" t="s">
        <v>1958</v>
      </c>
      <c r="D80" s="1" t="s">
        <v>1284</v>
      </c>
      <c r="E80" s="1" t="s">
        <v>22</v>
      </c>
      <c r="F80" s="1" t="s">
        <v>23</v>
      </c>
      <c r="G80" s="1" t="s">
        <v>26</v>
      </c>
      <c r="H80" s="1" t="s">
        <v>25</v>
      </c>
      <c r="I80" s="1" t="s">
        <v>24</v>
      </c>
      <c r="X80" s="62" t="s">
        <v>80</v>
      </c>
      <c r="Y80" s="63" t="s">
        <v>7</v>
      </c>
      <c r="Z80" s="68" t="str">
        <f>'2025NewCourses'!AJ60</f>
        <v>25-06019-001</v>
      </c>
      <c r="AA80" s="68">
        <f>'2025NewCourses'!AN60</f>
        <v>0.25</v>
      </c>
      <c r="AB80" s="68">
        <f>'2025NewCourses'!AO60</f>
        <v>0</v>
      </c>
      <c r="AC80" s="68">
        <f>'2025NewCourses'!AP60</f>
        <v>0.25</v>
      </c>
      <c r="AD80" s="68">
        <f>'2025NewCourses'!AQ60</f>
        <v>0.25</v>
      </c>
      <c r="AE80" s="68">
        <f>'2025NewCourses'!AR60</f>
        <v>0</v>
      </c>
      <c r="AF80" s="69">
        <f>'2025NewCourses'!AS60</f>
        <v>0</v>
      </c>
    </row>
    <row r="81" spans="1:32" x14ac:dyDescent="0.25">
      <c r="A81" s="60" t="s">
        <v>52</v>
      </c>
      <c r="B81" t="str">
        <f t="shared" ref="B81:B90" si="24">LOOKUP($A81,$X:$X,Y:Y)</f>
        <v>Pumps</v>
      </c>
      <c r="C81" t="str">
        <f t="shared" ref="C81:C90" si="25">LOOKUP($A81,$X:$X,Z:Z)</f>
        <v>25-06046-002</v>
      </c>
      <c r="D81" s="1">
        <f t="shared" ref="D81:D90" si="26">LOOKUP($A81,$X:$X,AA:AA)</f>
        <v>0.2</v>
      </c>
      <c r="E81" s="1">
        <f t="shared" ref="E81:E90" si="27">LOOKUP($A81,$X:$X,AB:AB)</f>
        <v>0.2</v>
      </c>
      <c r="F81" s="1">
        <f t="shared" ref="F81:F90" si="28">LOOKUP($A81,$X:$X,AC:AC)</f>
        <v>0.2</v>
      </c>
      <c r="G81" s="1">
        <f t="shared" ref="G81:G90" si="29">LOOKUP($A81,$X:$X,AD:AD)</f>
        <v>0.2</v>
      </c>
      <c r="H81" s="1">
        <f t="shared" ref="H81:H90" si="30">LOOKUP($A81,$X:$X,AE:AE)</f>
        <v>0.2</v>
      </c>
      <c r="I81" s="1">
        <f t="shared" ref="I81:I90" si="31">LOOKUP($A81,$X:$X,AF:AF)</f>
        <v>0.2</v>
      </c>
      <c r="X81" s="62" t="s">
        <v>1962</v>
      </c>
      <c r="Y81" s="63" t="s">
        <v>1496</v>
      </c>
      <c r="Z81" s="68">
        <f>'2025NewCourses'!AJ61</f>
        <v>0</v>
      </c>
      <c r="AA81" s="68">
        <f>'2025NewCourses'!AN61</f>
        <v>0.1</v>
      </c>
      <c r="AB81" s="68">
        <f>'2025NewCourses'!AO61</f>
        <v>0.1</v>
      </c>
      <c r="AC81" s="68">
        <f>'2025NewCourses'!AP61</f>
        <v>0.1</v>
      </c>
      <c r="AD81" s="68">
        <f>'2025NewCourses'!AQ61</f>
        <v>0.1</v>
      </c>
      <c r="AE81" s="68">
        <f>'2025NewCourses'!AR61</f>
        <v>0</v>
      </c>
      <c r="AF81" s="69">
        <f>'2025NewCourses'!AS61</f>
        <v>0</v>
      </c>
    </row>
    <row r="82" spans="1:32" x14ac:dyDescent="0.25">
      <c r="A82" s="60" t="s">
        <v>53</v>
      </c>
      <c r="B82" t="str">
        <f t="shared" si="24"/>
        <v>Hydraulics Basics</v>
      </c>
      <c r="C82" t="str">
        <f t="shared" si="25"/>
        <v>25-05990-001</v>
      </c>
      <c r="D82" s="1">
        <f t="shared" si="26"/>
        <v>0.15</v>
      </c>
      <c r="E82" s="1">
        <f t="shared" si="27"/>
        <v>0.15</v>
      </c>
      <c r="F82" s="1">
        <f t="shared" si="28"/>
        <v>0.15</v>
      </c>
      <c r="G82" s="1">
        <f t="shared" si="29"/>
        <v>0.15</v>
      </c>
      <c r="H82" s="1">
        <f t="shared" si="30"/>
        <v>0.15</v>
      </c>
      <c r="I82" s="1">
        <f t="shared" si="31"/>
        <v>0.15</v>
      </c>
      <c r="X82" s="62" t="s">
        <v>81</v>
      </c>
      <c r="Y82" s="63" t="s">
        <v>2</v>
      </c>
      <c r="Z82" s="68" t="str">
        <f>'2025NewCourses'!AJ62</f>
        <v>25-06020-001</v>
      </c>
      <c r="AA82" s="68">
        <f>'2025NewCourses'!AN62</f>
        <v>0.25</v>
      </c>
      <c r="AB82" s="68">
        <f>'2025NewCourses'!AO62</f>
        <v>0.25</v>
      </c>
      <c r="AC82" s="68">
        <f>'2025NewCourses'!AP62</f>
        <v>0.25</v>
      </c>
      <c r="AD82" s="68">
        <f>'2025NewCourses'!AQ62</f>
        <v>0.25</v>
      </c>
      <c r="AE82" s="68">
        <f>'2025NewCourses'!AR62</f>
        <v>0.25</v>
      </c>
      <c r="AF82" s="69">
        <f>'2025NewCourses'!AS62</f>
        <v>0</v>
      </c>
    </row>
    <row r="83" spans="1:32" x14ac:dyDescent="0.25">
      <c r="A83" s="60" t="s">
        <v>56</v>
      </c>
      <c r="B83" t="str">
        <f t="shared" si="24"/>
        <v>Corrosion Control</v>
      </c>
      <c r="C83" t="str">
        <f t="shared" si="25"/>
        <v>25-05992-001</v>
      </c>
      <c r="D83" s="1">
        <f t="shared" si="26"/>
        <v>0.25</v>
      </c>
      <c r="E83" s="1">
        <f t="shared" si="27"/>
        <v>0.25</v>
      </c>
      <c r="F83" s="1">
        <f t="shared" si="28"/>
        <v>0.25</v>
      </c>
      <c r="G83" s="1">
        <f t="shared" si="29"/>
        <v>0.25</v>
      </c>
      <c r="H83" s="1">
        <f t="shared" si="30"/>
        <v>0.25</v>
      </c>
      <c r="I83" s="1">
        <f t="shared" si="31"/>
        <v>0.25</v>
      </c>
      <c r="X83" s="62" t="s">
        <v>82</v>
      </c>
      <c r="Y83" s="63" t="s">
        <v>1297</v>
      </c>
      <c r="Z83" s="68">
        <f>'2025NewCourses'!AJ63</f>
        <v>0</v>
      </c>
      <c r="AA83" s="68">
        <f>'2025NewCourses'!AN63</f>
        <v>0</v>
      </c>
      <c r="AB83" s="68">
        <f>'2025NewCourses'!AO63</f>
        <v>0</v>
      </c>
      <c r="AC83" s="68">
        <f>'2025NewCourses'!AP63</f>
        <v>0</v>
      </c>
      <c r="AD83" s="68">
        <f>'2025NewCourses'!AQ63</f>
        <v>0</v>
      </c>
      <c r="AE83" s="68">
        <f>'2025NewCourses'!AR63</f>
        <v>0</v>
      </c>
      <c r="AF83" s="69">
        <f>'2025NewCourses'!AS63</f>
        <v>0</v>
      </c>
    </row>
    <row r="84" spans="1:32" x14ac:dyDescent="0.25">
      <c r="A84" s="60" t="s">
        <v>490</v>
      </c>
      <c r="B84" t="str">
        <f t="shared" si="24"/>
        <v>Disinfection Byproducts</v>
      </c>
      <c r="C84" t="str">
        <f t="shared" si="25"/>
        <v>25-05996-001</v>
      </c>
      <c r="D84" s="1">
        <f t="shared" si="26"/>
        <v>0.15</v>
      </c>
      <c r="E84" s="1">
        <f t="shared" si="27"/>
        <v>0.15</v>
      </c>
      <c r="F84" s="1">
        <f t="shared" si="28"/>
        <v>0</v>
      </c>
      <c r="G84" s="1">
        <f t="shared" si="29"/>
        <v>0</v>
      </c>
      <c r="H84" s="1">
        <f t="shared" si="30"/>
        <v>0.15</v>
      </c>
      <c r="I84" s="1">
        <f t="shared" si="31"/>
        <v>0</v>
      </c>
      <c r="X84" s="62" t="s">
        <v>83</v>
      </c>
      <c r="Y84" s="63" t="s">
        <v>12</v>
      </c>
      <c r="Z84" s="68" t="str">
        <f>'2025NewCourses'!AJ64</f>
        <v>25-06022-002</v>
      </c>
      <c r="AA84" s="68">
        <f>'2025NewCourses'!AN64</f>
        <v>0.15</v>
      </c>
      <c r="AB84" s="68">
        <f>'2025NewCourses'!AO64</f>
        <v>0</v>
      </c>
      <c r="AC84" s="68">
        <f>'2025NewCourses'!AP64</f>
        <v>0.15</v>
      </c>
      <c r="AD84" s="68">
        <f>'2025NewCourses'!AQ64</f>
        <v>0</v>
      </c>
      <c r="AE84" s="68">
        <f>'2025NewCourses'!AR64</f>
        <v>0</v>
      </c>
      <c r="AF84" s="69">
        <f>'2025NewCourses'!AS64</f>
        <v>0</v>
      </c>
    </row>
    <row r="85" spans="1:32" x14ac:dyDescent="0.25">
      <c r="A85" s="60" t="s">
        <v>499</v>
      </c>
      <c r="B85" t="str">
        <f t="shared" si="24"/>
        <v>Laboratory - Chlorine Residual by DPD</v>
      </c>
      <c r="C85" t="str">
        <f t="shared" si="25"/>
        <v>25-07709-001</v>
      </c>
      <c r="D85" s="1">
        <f t="shared" si="26"/>
        <v>0.05</v>
      </c>
      <c r="E85" s="1">
        <f t="shared" si="27"/>
        <v>0.05</v>
      </c>
      <c r="F85" s="1">
        <f t="shared" si="28"/>
        <v>0.05</v>
      </c>
      <c r="G85" s="1">
        <f t="shared" si="29"/>
        <v>0.05</v>
      </c>
      <c r="H85" s="1">
        <f t="shared" si="30"/>
        <v>0.05</v>
      </c>
      <c r="I85" s="1">
        <f t="shared" si="31"/>
        <v>0</v>
      </c>
      <c r="X85" s="62" t="s">
        <v>84</v>
      </c>
      <c r="Y85" s="63" t="s">
        <v>10</v>
      </c>
      <c r="Z85" s="68" t="str">
        <f>'2025NewCourses'!AJ65</f>
        <v>25-06023-001</v>
      </c>
      <c r="AA85" s="68">
        <f>'2025NewCourses'!AN65</f>
        <v>0.3</v>
      </c>
      <c r="AB85" s="68">
        <f>'2025NewCourses'!AO65</f>
        <v>0</v>
      </c>
      <c r="AC85" s="68">
        <f>'2025NewCourses'!AP65</f>
        <v>0.3</v>
      </c>
      <c r="AD85" s="68">
        <f>'2025NewCourses'!AQ65</f>
        <v>0.3</v>
      </c>
      <c r="AE85" s="68">
        <f>'2025NewCourses'!AR65</f>
        <v>0</v>
      </c>
      <c r="AF85" s="69">
        <f>'2025NewCourses'!AS65</f>
        <v>0</v>
      </c>
    </row>
    <row r="86" spans="1:32" x14ac:dyDescent="0.25">
      <c r="A86" s="60" t="s">
        <v>91</v>
      </c>
      <c r="B86" t="str">
        <f t="shared" si="24"/>
        <v>Water Sources Part 2</v>
      </c>
      <c r="C86" t="str">
        <f t="shared" si="25"/>
        <v>25-06036-001</v>
      </c>
      <c r="D86" s="1">
        <f t="shared" si="26"/>
        <v>0.1</v>
      </c>
      <c r="E86" s="1">
        <f t="shared" si="27"/>
        <v>0.1</v>
      </c>
      <c r="F86" s="1">
        <f t="shared" si="28"/>
        <v>0</v>
      </c>
      <c r="G86" s="1">
        <f t="shared" si="29"/>
        <v>0.1</v>
      </c>
      <c r="H86" s="1">
        <f t="shared" si="30"/>
        <v>0.1</v>
      </c>
      <c r="I86" s="1">
        <f t="shared" si="31"/>
        <v>0</v>
      </c>
      <c r="X86" s="62" t="s">
        <v>85</v>
      </c>
      <c r="Y86" s="63" t="s">
        <v>11</v>
      </c>
      <c r="Z86" s="68" t="str">
        <f>'2025NewCourses'!AJ66</f>
        <v>25-06024-001</v>
      </c>
      <c r="AA86" s="68">
        <f>'2025NewCourses'!AN66</f>
        <v>0.2</v>
      </c>
      <c r="AB86" s="68">
        <f>'2025NewCourses'!AO66</f>
        <v>0.2</v>
      </c>
      <c r="AC86" s="68">
        <f>'2025NewCourses'!AP66</f>
        <v>0.2</v>
      </c>
      <c r="AD86" s="68">
        <f>'2025NewCourses'!AQ66</f>
        <v>0.2</v>
      </c>
      <c r="AE86" s="68">
        <f>'2025NewCourses'!AR66</f>
        <v>0</v>
      </c>
      <c r="AF86" s="69">
        <f>'2025NewCourses'!AS66</f>
        <v>0</v>
      </c>
    </row>
    <row r="87" spans="1:32" x14ac:dyDescent="0.25">
      <c r="A87" s="60" t="s">
        <v>92</v>
      </c>
      <c r="B87" t="str">
        <f t="shared" si="24"/>
        <v>Drinking Water Treatment Part 1</v>
      </c>
      <c r="C87" t="str">
        <f t="shared" si="25"/>
        <v>25-06037-001</v>
      </c>
      <c r="D87" s="1">
        <f t="shared" si="26"/>
        <v>0.25</v>
      </c>
      <c r="E87" s="1">
        <f t="shared" si="27"/>
        <v>0.25</v>
      </c>
      <c r="F87" s="1">
        <f t="shared" si="28"/>
        <v>0</v>
      </c>
      <c r="G87" s="1">
        <f t="shared" si="29"/>
        <v>0</v>
      </c>
      <c r="H87" s="1">
        <f t="shared" si="30"/>
        <v>0</v>
      </c>
      <c r="I87" s="1">
        <f t="shared" si="31"/>
        <v>0</v>
      </c>
      <c r="X87" s="62" t="s">
        <v>86</v>
      </c>
      <c r="Y87" s="63" t="s">
        <v>155</v>
      </c>
      <c r="Z87" s="68" t="str">
        <f>'2025NewCourses'!AJ67</f>
        <v>25-06025-001</v>
      </c>
      <c r="AA87" s="68">
        <f>'2025NewCourses'!AN67</f>
        <v>0.2</v>
      </c>
      <c r="AB87" s="68">
        <f>'2025NewCourses'!AO67</f>
        <v>0.2</v>
      </c>
      <c r="AC87" s="68">
        <f>'2025NewCourses'!AP67</f>
        <v>0.2</v>
      </c>
      <c r="AD87" s="68">
        <f>'2025NewCourses'!AQ67</f>
        <v>0.2</v>
      </c>
      <c r="AE87" s="68">
        <f>'2025NewCourses'!AR67</f>
        <v>0</v>
      </c>
      <c r="AF87" s="69">
        <f>'2025NewCourses'!AS67</f>
        <v>0</v>
      </c>
    </row>
    <row r="88" spans="1:32" x14ac:dyDescent="0.25">
      <c r="A88" s="60" t="s">
        <v>93</v>
      </c>
      <c r="B88" t="str">
        <f t="shared" si="24"/>
        <v>Water Treatment Part 2 (Disinfection, Water Focus)</v>
      </c>
      <c r="C88" t="str">
        <f t="shared" si="25"/>
        <v>25-06038-001</v>
      </c>
      <c r="D88" s="1">
        <f t="shared" si="26"/>
        <v>0.25</v>
      </c>
      <c r="E88" s="1">
        <f t="shared" si="27"/>
        <v>0.25</v>
      </c>
      <c r="F88" s="1">
        <f t="shared" si="28"/>
        <v>0.25</v>
      </c>
      <c r="G88" s="1">
        <f t="shared" si="29"/>
        <v>0.25</v>
      </c>
      <c r="H88" s="1">
        <f t="shared" si="30"/>
        <v>0.25</v>
      </c>
      <c r="I88" s="1">
        <f t="shared" si="31"/>
        <v>0</v>
      </c>
      <c r="X88" s="62" t="s">
        <v>493</v>
      </c>
      <c r="Y88" s="63" t="s">
        <v>19</v>
      </c>
      <c r="Z88" s="68" t="str">
        <f>'2025NewCourses'!AJ69</f>
        <v>25-06026-001</v>
      </c>
      <c r="AA88" s="68">
        <f>'2025NewCourses'!AN69</f>
        <v>0.2</v>
      </c>
      <c r="AB88" s="68">
        <f>'2025NewCourses'!AO69</f>
        <v>0</v>
      </c>
      <c r="AC88" s="68">
        <f>'2025NewCourses'!AP69</f>
        <v>0.2</v>
      </c>
      <c r="AD88" s="68">
        <f>'2025NewCourses'!AQ69</f>
        <v>0.2</v>
      </c>
      <c r="AE88" s="68">
        <f>'2025NewCourses'!AR69</f>
        <v>0</v>
      </c>
      <c r="AF88" s="69">
        <f>'2025NewCourses'!AS69</f>
        <v>0.2</v>
      </c>
    </row>
    <row r="89" spans="1:32" x14ac:dyDescent="0.25">
      <c r="A89" s="60" t="s">
        <v>94</v>
      </c>
      <c r="B89" t="str">
        <f t="shared" si="24"/>
        <v>Intro to Distribution Systems</v>
      </c>
      <c r="C89" t="str">
        <f t="shared" si="25"/>
        <v>25-06696-001</v>
      </c>
      <c r="D89" s="1">
        <f t="shared" si="26"/>
        <v>0.2</v>
      </c>
      <c r="E89" s="1">
        <f t="shared" si="27"/>
        <v>0.1</v>
      </c>
      <c r="F89" s="1">
        <f t="shared" si="28"/>
        <v>0.1</v>
      </c>
      <c r="G89" s="1">
        <f t="shared" si="29"/>
        <v>0.1</v>
      </c>
      <c r="H89" s="1">
        <f t="shared" si="30"/>
        <v>0.2</v>
      </c>
      <c r="I89" s="1">
        <f t="shared" si="31"/>
        <v>0.1</v>
      </c>
      <c r="X89" s="62" t="s">
        <v>87</v>
      </c>
      <c r="Y89" s="63" t="s">
        <v>156</v>
      </c>
      <c r="Z89" s="68" t="str">
        <f>'2025NewCourses'!AJ70</f>
        <v>25-06032-001</v>
      </c>
      <c r="AA89" s="68">
        <f>'2025NewCourses'!AN70</f>
        <v>0.15</v>
      </c>
      <c r="AB89" s="68">
        <f>'2025NewCourses'!AO70</f>
        <v>0.15</v>
      </c>
      <c r="AC89" s="68">
        <f>'2025NewCourses'!AP70</f>
        <v>0.15</v>
      </c>
      <c r="AD89" s="68">
        <f>'2025NewCourses'!AQ70</f>
        <v>0.15</v>
      </c>
      <c r="AE89" s="68">
        <f>'2025NewCourses'!AR70</f>
        <v>0</v>
      </c>
      <c r="AF89" s="69">
        <f>'2025NewCourses'!AS70</f>
        <v>0</v>
      </c>
    </row>
    <row r="90" spans="1:32" x14ac:dyDescent="0.25">
      <c r="A90" t="s">
        <v>95</v>
      </c>
      <c r="B90" t="str">
        <f t="shared" si="24"/>
        <v>MRT Drinking Water Regulatory Course</v>
      </c>
      <c r="C90" t="str">
        <f t="shared" si="25"/>
        <v>25-06743-002</v>
      </c>
      <c r="D90" s="1">
        <f t="shared" si="26"/>
        <v>0.3</v>
      </c>
      <c r="E90" s="1">
        <f t="shared" si="27"/>
        <v>0.3</v>
      </c>
      <c r="F90" s="1">
        <f t="shared" si="28"/>
        <v>0</v>
      </c>
      <c r="G90" s="1">
        <f t="shared" si="29"/>
        <v>0</v>
      </c>
      <c r="H90" s="1">
        <f t="shared" si="30"/>
        <v>0.3</v>
      </c>
      <c r="I90" s="1">
        <f t="shared" si="31"/>
        <v>0</v>
      </c>
      <c r="X90" s="62" t="s">
        <v>88</v>
      </c>
      <c r="Y90" s="63" t="s">
        <v>1388</v>
      </c>
      <c r="Z90" s="68">
        <f>'2025NewCourses'!AJ71</f>
        <v>0</v>
      </c>
      <c r="AA90" s="68">
        <f>'2025NewCourses'!AN71</f>
        <v>0</v>
      </c>
      <c r="AB90" s="68">
        <f>'2025NewCourses'!AO71</f>
        <v>0</v>
      </c>
      <c r="AC90" s="68">
        <f>'2025NewCourses'!AP71</f>
        <v>0</v>
      </c>
      <c r="AD90" s="68">
        <f>'2025NewCourses'!AQ71</f>
        <v>0</v>
      </c>
      <c r="AE90" s="68">
        <f>'2025NewCourses'!AR71</f>
        <v>0</v>
      </c>
      <c r="AF90" s="69">
        <f>'2025NewCourses'!AS71</f>
        <v>0</v>
      </c>
    </row>
    <row r="91" spans="1:32" x14ac:dyDescent="0.25">
      <c r="A91" t="s">
        <v>287</v>
      </c>
      <c r="D91" s="1">
        <f>SUM(Table39101216[Max])</f>
        <v>1.9</v>
      </c>
      <c r="E91" s="1">
        <f>SUM(Table39101216[W])</f>
        <v>1.8</v>
      </c>
      <c r="F91" s="1">
        <f>SUM(Table39101216[WW])</f>
        <v>1</v>
      </c>
      <c r="G91" s="1">
        <f>SUM(Table39101216[I])</f>
        <v>1.1000000000000001</v>
      </c>
      <c r="H91" s="1">
        <f>SUM(Table39101216[D])</f>
        <v>1.65</v>
      </c>
      <c r="I91" s="1">
        <f>SUM(Table39101216[C])</f>
        <v>0.7</v>
      </c>
      <c r="X91" s="62" t="s">
        <v>170</v>
      </c>
      <c r="Y91" s="63" t="s">
        <v>245</v>
      </c>
      <c r="Z91" s="68" t="str">
        <f>'2025NewCourses'!AJ72</f>
        <v>25-06033-001</v>
      </c>
      <c r="AA91" s="68">
        <f>'2025NewCourses'!AN72</f>
        <v>0.2</v>
      </c>
      <c r="AB91" s="68">
        <f>'2025NewCourses'!AO72</f>
        <v>0.2</v>
      </c>
      <c r="AC91" s="68">
        <f>'2025NewCourses'!AP72</f>
        <v>0.2</v>
      </c>
      <c r="AD91" s="68">
        <f>'2025NewCourses'!AQ72</f>
        <v>0.2</v>
      </c>
      <c r="AE91" s="68">
        <f>'2025NewCourses'!AR72</f>
        <v>0</v>
      </c>
      <c r="AF91" s="69">
        <f>'2025NewCourses'!AS72</f>
        <v>0</v>
      </c>
    </row>
    <row r="92" spans="1:32" x14ac:dyDescent="0.25">
      <c r="X92" s="70" t="s">
        <v>742</v>
      </c>
      <c r="Y92" s="71" t="s">
        <v>306</v>
      </c>
      <c r="Z92" s="76" t="str">
        <f>'2025NewCourses'!AJ73</f>
        <v>25-06840-002</v>
      </c>
      <c r="AA92" s="76">
        <f>'2025NewCourses'!AN73</f>
        <v>0.25</v>
      </c>
      <c r="AB92" s="76">
        <f>'2025NewCourses'!AO73</f>
        <v>0</v>
      </c>
      <c r="AC92" s="76">
        <f>'2025NewCourses'!AP73</f>
        <v>0.25</v>
      </c>
      <c r="AD92" s="76">
        <f>'2025NewCourses'!AQ73</f>
        <v>0.25</v>
      </c>
      <c r="AE92" s="76">
        <f>'2025NewCourses'!AR73</f>
        <v>0</v>
      </c>
      <c r="AF92" s="77">
        <f>'2025NewCourses'!AS73</f>
        <v>0.25</v>
      </c>
    </row>
    <row r="93" spans="1:32" x14ac:dyDescent="0.25">
      <c r="A93" s="6" t="s">
        <v>2301</v>
      </c>
      <c r="I93" s="61">
        <f>(D111-0.3)*10*20*0.9</f>
        <v>378.00000000000011</v>
      </c>
      <c r="X93" s="70" t="s">
        <v>1930</v>
      </c>
      <c r="Y93" s="71" t="s">
        <v>1933</v>
      </c>
      <c r="Z93" s="76" t="str">
        <f>'2025NewCourses'!AJ68</f>
        <v>25-10671-001</v>
      </c>
      <c r="AA93" s="76">
        <f>'2025NewCourses'!AN68</f>
        <v>0.2</v>
      </c>
      <c r="AB93" s="76">
        <f>'2025NewCourses'!AO68</f>
        <v>0</v>
      </c>
      <c r="AC93" s="76">
        <f>'2025NewCourses'!AP68</f>
        <v>0.2</v>
      </c>
      <c r="AD93" s="76">
        <f>'2025NewCourses'!AQ68</f>
        <v>0.2</v>
      </c>
      <c r="AE93" s="76">
        <f>'2025NewCourses'!AR68</f>
        <v>0</v>
      </c>
      <c r="AF93" s="77">
        <f>'2025NewCourses'!AS68</f>
        <v>0</v>
      </c>
    </row>
    <row r="94" spans="1:32" x14ac:dyDescent="0.25">
      <c r="A94" t="s">
        <v>1956</v>
      </c>
      <c r="B94" t="s">
        <v>249</v>
      </c>
      <c r="C94" t="s">
        <v>1958</v>
      </c>
      <c r="D94" s="1" t="s">
        <v>1284</v>
      </c>
      <c r="E94" s="1" t="s">
        <v>22</v>
      </c>
      <c r="F94" s="1" t="s">
        <v>23</v>
      </c>
      <c r="G94" s="1" t="s">
        <v>26</v>
      </c>
      <c r="H94" s="1" t="s">
        <v>25</v>
      </c>
      <c r="I94" s="1" t="s">
        <v>24</v>
      </c>
    </row>
    <row r="95" spans="1:32" x14ac:dyDescent="0.25">
      <c r="A95" s="60" t="s">
        <v>52</v>
      </c>
      <c r="B95" t="str">
        <f t="shared" ref="B95:B110" si="32">LOOKUP($A95,$X:$X,Y:Y)</f>
        <v>Pumps</v>
      </c>
      <c r="C95" t="str">
        <f t="shared" ref="C95:C110" si="33">LOOKUP($A95,$X:$X,Z:Z)</f>
        <v>25-06046-002</v>
      </c>
      <c r="D95" s="1">
        <f t="shared" ref="D95:D110" si="34">LOOKUP($A95,$X:$X,AA:AA)</f>
        <v>0.2</v>
      </c>
      <c r="E95" s="1">
        <f t="shared" ref="E95:E110" si="35">LOOKUP($A95,$X:$X,AB:AB)</f>
        <v>0.2</v>
      </c>
      <c r="F95" s="1">
        <f t="shared" ref="F95:F110" si="36">LOOKUP($A95,$X:$X,AC:AC)</f>
        <v>0.2</v>
      </c>
      <c r="G95" s="1">
        <f t="shared" ref="G95:G110" si="37">LOOKUP($A95,$X:$X,AD:AD)</f>
        <v>0.2</v>
      </c>
      <c r="H95" s="1">
        <f t="shared" ref="H95:H110" si="38">LOOKUP($A95,$X:$X,AE:AE)</f>
        <v>0.2</v>
      </c>
      <c r="I95" s="1">
        <f t="shared" ref="I95:I110" si="39">LOOKUP($A95,$X:$X,AF:AF)</f>
        <v>0.2</v>
      </c>
    </row>
    <row r="96" spans="1:32" x14ac:dyDescent="0.25">
      <c r="A96" s="60" t="s">
        <v>53</v>
      </c>
      <c r="B96" t="str">
        <f t="shared" si="32"/>
        <v>Hydraulics Basics</v>
      </c>
      <c r="C96" t="str">
        <f t="shared" si="33"/>
        <v>25-05990-001</v>
      </c>
      <c r="D96" s="1">
        <f t="shared" si="34"/>
        <v>0.15</v>
      </c>
      <c r="E96" s="1">
        <f t="shared" si="35"/>
        <v>0.15</v>
      </c>
      <c r="F96" s="1">
        <f t="shared" si="36"/>
        <v>0.15</v>
      </c>
      <c r="G96" s="1">
        <f t="shared" si="37"/>
        <v>0.15</v>
      </c>
      <c r="H96" s="1">
        <f t="shared" si="38"/>
        <v>0.15</v>
      </c>
      <c r="I96" s="1">
        <f t="shared" si="39"/>
        <v>0.15</v>
      </c>
    </row>
    <row r="97" spans="1:10" x14ac:dyDescent="0.25">
      <c r="A97" s="60" t="s">
        <v>56</v>
      </c>
      <c r="B97" t="str">
        <f t="shared" si="32"/>
        <v>Corrosion Control</v>
      </c>
      <c r="C97" t="str">
        <f t="shared" si="33"/>
        <v>25-05992-001</v>
      </c>
      <c r="D97" s="1">
        <f t="shared" si="34"/>
        <v>0.25</v>
      </c>
      <c r="E97" s="1">
        <f t="shared" si="35"/>
        <v>0.25</v>
      </c>
      <c r="F97" s="1">
        <f t="shared" si="36"/>
        <v>0.25</v>
      </c>
      <c r="G97" s="1">
        <f t="shared" si="37"/>
        <v>0.25</v>
      </c>
      <c r="H97" s="1">
        <f t="shared" si="38"/>
        <v>0.25</v>
      </c>
      <c r="I97" s="1">
        <f t="shared" si="39"/>
        <v>0.25</v>
      </c>
    </row>
    <row r="98" spans="1:10" x14ac:dyDescent="0.25">
      <c r="A98" s="60" t="s">
        <v>489</v>
      </c>
      <c r="B98" t="str">
        <f t="shared" si="32"/>
        <v>Maintenance</v>
      </c>
      <c r="C98" t="str">
        <f t="shared" si="33"/>
        <v>25-05993-001</v>
      </c>
      <c r="D98" s="1">
        <f t="shared" si="34"/>
        <v>0.15</v>
      </c>
      <c r="E98" s="1">
        <f t="shared" si="35"/>
        <v>0.15</v>
      </c>
      <c r="F98" s="1">
        <f t="shared" si="36"/>
        <v>0.15</v>
      </c>
      <c r="G98" s="1">
        <f t="shared" si="37"/>
        <v>0.15</v>
      </c>
      <c r="H98" s="1">
        <f t="shared" si="38"/>
        <v>0.15</v>
      </c>
      <c r="I98" s="1">
        <f t="shared" si="39"/>
        <v>0.15</v>
      </c>
      <c r="J98" s="25"/>
    </row>
    <row r="99" spans="1:10" x14ac:dyDescent="0.25">
      <c r="A99" s="60" t="s">
        <v>107</v>
      </c>
      <c r="B99" t="str">
        <f t="shared" si="32"/>
        <v>Electrical Fundamentals</v>
      </c>
      <c r="C99" t="str">
        <f t="shared" si="33"/>
        <v>25-05994-001</v>
      </c>
      <c r="D99" s="1">
        <f t="shared" si="34"/>
        <v>0.15</v>
      </c>
      <c r="E99" s="1">
        <f t="shared" si="35"/>
        <v>0.15</v>
      </c>
      <c r="F99" s="1">
        <f t="shared" si="36"/>
        <v>0.15</v>
      </c>
      <c r="G99" s="1">
        <f t="shared" si="37"/>
        <v>0.15</v>
      </c>
      <c r="H99" s="1">
        <f t="shared" si="38"/>
        <v>0.15</v>
      </c>
      <c r="I99" s="1">
        <f t="shared" si="39"/>
        <v>0.15</v>
      </c>
    </row>
    <row r="100" spans="1:10" x14ac:dyDescent="0.25">
      <c r="A100" s="60" t="s">
        <v>490</v>
      </c>
      <c r="B100" t="str">
        <f t="shared" si="32"/>
        <v>Disinfection Byproducts</v>
      </c>
      <c r="C100" t="str">
        <f t="shared" si="33"/>
        <v>25-05996-001</v>
      </c>
      <c r="D100" s="1">
        <f t="shared" si="34"/>
        <v>0.15</v>
      </c>
      <c r="E100" s="1">
        <f t="shared" si="35"/>
        <v>0.15</v>
      </c>
      <c r="F100" s="1">
        <f t="shared" si="36"/>
        <v>0</v>
      </c>
      <c r="G100" s="1">
        <f t="shared" si="37"/>
        <v>0</v>
      </c>
      <c r="H100" s="1">
        <f t="shared" si="38"/>
        <v>0.15</v>
      </c>
      <c r="I100" s="1">
        <f t="shared" si="39"/>
        <v>0</v>
      </c>
    </row>
    <row r="101" spans="1:10" x14ac:dyDescent="0.25">
      <c r="A101" s="60" t="s">
        <v>1056</v>
      </c>
      <c r="B101" t="str">
        <f t="shared" si="32"/>
        <v>Backflow Preventers</v>
      </c>
      <c r="C101" t="str">
        <f t="shared" si="33"/>
        <v>25-08959-001</v>
      </c>
      <c r="D101" s="1">
        <f t="shared" si="34"/>
        <v>0.05</v>
      </c>
      <c r="E101" s="1">
        <f t="shared" si="35"/>
        <v>0.05</v>
      </c>
      <c r="F101" s="1">
        <f t="shared" si="36"/>
        <v>0.05</v>
      </c>
      <c r="G101" s="1">
        <f t="shared" si="37"/>
        <v>0.05</v>
      </c>
      <c r="H101" s="1">
        <f t="shared" si="38"/>
        <v>0.05</v>
      </c>
      <c r="I101" s="1">
        <f t="shared" si="39"/>
        <v>0.05</v>
      </c>
    </row>
    <row r="102" spans="1:10" x14ac:dyDescent="0.25">
      <c r="A102" s="60" t="s">
        <v>499</v>
      </c>
      <c r="B102" t="str">
        <f t="shared" si="32"/>
        <v>Laboratory - Chlorine Residual by DPD</v>
      </c>
      <c r="C102" t="str">
        <f t="shared" si="33"/>
        <v>25-07709-001</v>
      </c>
      <c r="D102" s="1">
        <f t="shared" si="34"/>
        <v>0.05</v>
      </c>
      <c r="E102" s="1">
        <f t="shared" si="35"/>
        <v>0.05</v>
      </c>
      <c r="F102" s="1">
        <f t="shared" si="36"/>
        <v>0.05</v>
      </c>
      <c r="G102" s="1">
        <f t="shared" si="37"/>
        <v>0.05</v>
      </c>
      <c r="H102" s="1">
        <f t="shared" si="38"/>
        <v>0.05</v>
      </c>
      <c r="I102" s="1">
        <f t="shared" si="39"/>
        <v>0</v>
      </c>
    </row>
    <row r="103" spans="1:10" x14ac:dyDescent="0.25">
      <c r="A103" s="60" t="s">
        <v>502</v>
      </c>
      <c r="B103" t="str">
        <f t="shared" si="32"/>
        <v>Laboratory - Jar Testing</v>
      </c>
      <c r="C103" t="str">
        <f t="shared" si="33"/>
        <v>25-07639-001</v>
      </c>
      <c r="D103" s="1">
        <f t="shared" si="34"/>
        <v>0.1</v>
      </c>
      <c r="E103" s="1">
        <f t="shared" si="35"/>
        <v>0.1</v>
      </c>
      <c r="F103" s="1">
        <f t="shared" si="36"/>
        <v>0.1</v>
      </c>
      <c r="G103" s="1">
        <f t="shared" si="37"/>
        <v>0.1</v>
      </c>
      <c r="H103" s="1">
        <f t="shared" si="38"/>
        <v>0</v>
      </c>
      <c r="I103" s="1">
        <f t="shared" si="39"/>
        <v>0</v>
      </c>
    </row>
    <row r="104" spans="1:10" x14ac:dyDescent="0.25">
      <c r="A104" s="60" t="str">
        <f>X54</f>
        <v>WATER-009</v>
      </c>
      <c r="B104" t="str">
        <f t="shared" si="32"/>
        <v>Water Storage Tanks Part 1 - Components</v>
      </c>
      <c r="C104" t="str">
        <f t="shared" si="33"/>
        <v>25-10976-001</v>
      </c>
      <c r="D104" s="1">
        <f t="shared" si="34"/>
        <v>0.1</v>
      </c>
      <c r="E104" s="1">
        <f t="shared" si="35"/>
        <v>0.1</v>
      </c>
      <c r="F104" s="1">
        <f t="shared" si="36"/>
        <v>0.1</v>
      </c>
      <c r="G104" s="1">
        <f t="shared" si="37"/>
        <v>0.1</v>
      </c>
      <c r="H104" s="1">
        <f t="shared" si="38"/>
        <v>0.1</v>
      </c>
      <c r="I104" s="1">
        <f t="shared" si="39"/>
        <v>0</v>
      </c>
    </row>
    <row r="105" spans="1:10" x14ac:dyDescent="0.25">
      <c r="A105" s="60" t="str">
        <f>X55</f>
        <v>WATER-010</v>
      </c>
      <c r="B105" t="str">
        <f t="shared" si="32"/>
        <v>Water Storage Tanks Part 2 - Water Age and Quality</v>
      </c>
      <c r="C105" t="str">
        <f t="shared" si="33"/>
        <v>25-10977-001</v>
      </c>
      <c r="D105" s="1">
        <f t="shared" si="34"/>
        <v>0.1</v>
      </c>
      <c r="E105" s="1">
        <f t="shared" si="35"/>
        <v>0.1</v>
      </c>
      <c r="F105" s="1">
        <f t="shared" si="36"/>
        <v>0.1</v>
      </c>
      <c r="G105" s="1">
        <f t="shared" si="37"/>
        <v>0.1</v>
      </c>
      <c r="H105" s="1">
        <f t="shared" si="38"/>
        <v>0.1</v>
      </c>
      <c r="I105" s="1">
        <f t="shared" si="39"/>
        <v>0</v>
      </c>
    </row>
    <row r="106" spans="1:10" x14ac:dyDescent="0.25">
      <c r="A106" s="60" t="str">
        <f>X56</f>
        <v>WATER-011</v>
      </c>
      <c r="B106" t="str">
        <f t="shared" si="32"/>
        <v>Water Storage Tanks Part 3 - Inspections</v>
      </c>
      <c r="C106" t="str">
        <f t="shared" si="33"/>
        <v>25-10978-001</v>
      </c>
      <c r="D106" s="1">
        <f t="shared" si="34"/>
        <v>0.1</v>
      </c>
      <c r="E106" s="1">
        <f t="shared" si="35"/>
        <v>0.1</v>
      </c>
      <c r="F106" s="1">
        <f t="shared" si="36"/>
        <v>0.1</v>
      </c>
      <c r="G106" s="1">
        <f t="shared" si="37"/>
        <v>0.1</v>
      </c>
      <c r="H106" s="1">
        <f t="shared" si="38"/>
        <v>0.1</v>
      </c>
      <c r="I106" s="1">
        <f t="shared" si="39"/>
        <v>0</v>
      </c>
    </row>
    <row r="107" spans="1:10" x14ac:dyDescent="0.25">
      <c r="A107" s="60" t="s">
        <v>92</v>
      </c>
      <c r="B107" t="str">
        <f t="shared" si="32"/>
        <v>Drinking Water Treatment Part 1</v>
      </c>
      <c r="C107" t="str">
        <f t="shared" si="33"/>
        <v>25-06037-001</v>
      </c>
      <c r="D107" s="1">
        <f t="shared" si="34"/>
        <v>0.25</v>
      </c>
      <c r="E107" s="1">
        <f t="shared" si="35"/>
        <v>0.25</v>
      </c>
      <c r="F107" s="1">
        <f t="shared" si="36"/>
        <v>0</v>
      </c>
      <c r="G107" s="1">
        <f t="shared" si="37"/>
        <v>0</v>
      </c>
      <c r="H107" s="1">
        <f t="shared" si="38"/>
        <v>0</v>
      </c>
      <c r="I107" s="1">
        <f t="shared" si="39"/>
        <v>0</v>
      </c>
    </row>
    <row r="108" spans="1:10" x14ac:dyDescent="0.25">
      <c r="A108" s="60" t="s">
        <v>93</v>
      </c>
      <c r="B108" t="str">
        <f t="shared" si="32"/>
        <v>Water Treatment Part 2 (Disinfection, Water Focus)</v>
      </c>
      <c r="C108" t="str">
        <f t="shared" si="33"/>
        <v>25-06038-001</v>
      </c>
      <c r="D108" s="1">
        <f t="shared" si="34"/>
        <v>0.25</v>
      </c>
      <c r="E108" s="1">
        <f t="shared" si="35"/>
        <v>0.25</v>
      </c>
      <c r="F108" s="1">
        <f t="shared" si="36"/>
        <v>0.25</v>
      </c>
      <c r="G108" s="1">
        <f t="shared" si="37"/>
        <v>0.25</v>
      </c>
      <c r="H108" s="1">
        <f t="shared" si="38"/>
        <v>0.25</v>
      </c>
      <c r="I108" s="1">
        <f t="shared" si="39"/>
        <v>0</v>
      </c>
    </row>
    <row r="109" spans="1:10" x14ac:dyDescent="0.25">
      <c r="A109" s="60" t="str">
        <f>X35</f>
        <v>MATH-003</v>
      </c>
      <c r="B109" t="str">
        <f t="shared" si="32"/>
        <v>Chemical Dosing</v>
      </c>
      <c r="C109" t="str">
        <f t="shared" si="33"/>
        <v>25-05986-002</v>
      </c>
      <c r="D109" s="1">
        <f t="shared" si="34"/>
        <v>0.05</v>
      </c>
      <c r="E109" s="1">
        <f t="shared" si="35"/>
        <v>0.05</v>
      </c>
      <c r="F109" s="1">
        <f t="shared" si="36"/>
        <v>0.05</v>
      </c>
      <c r="G109" s="1">
        <f t="shared" si="37"/>
        <v>0.05</v>
      </c>
      <c r="H109" s="1">
        <f t="shared" si="38"/>
        <v>0.05</v>
      </c>
      <c r="I109" s="1">
        <f t="shared" si="39"/>
        <v>0.05</v>
      </c>
    </row>
    <row r="110" spans="1:10" x14ac:dyDescent="0.25">
      <c r="A110" t="s">
        <v>95</v>
      </c>
      <c r="B110" t="str">
        <f t="shared" si="32"/>
        <v>MRT Drinking Water Regulatory Course</v>
      </c>
      <c r="C110" t="str">
        <f t="shared" si="33"/>
        <v>25-06743-002</v>
      </c>
      <c r="D110" s="1">
        <f t="shared" si="34"/>
        <v>0.3</v>
      </c>
      <c r="E110" s="1">
        <f t="shared" si="35"/>
        <v>0.3</v>
      </c>
      <c r="F110" s="1">
        <f t="shared" si="36"/>
        <v>0</v>
      </c>
      <c r="G110" s="1">
        <f t="shared" si="37"/>
        <v>0</v>
      </c>
      <c r="H110" s="1">
        <f t="shared" si="38"/>
        <v>0.3</v>
      </c>
      <c r="I110" s="1">
        <f t="shared" si="39"/>
        <v>0</v>
      </c>
    </row>
    <row r="111" spans="1:10" x14ac:dyDescent="0.25">
      <c r="A111" t="s">
        <v>287</v>
      </c>
      <c r="D111" s="1">
        <f>SUM(Table39101217[Max])</f>
        <v>2.4000000000000004</v>
      </c>
      <c r="E111" s="1">
        <f>SUM(Table39101217[W])</f>
        <v>2.4000000000000004</v>
      </c>
      <c r="F111" s="1">
        <f>SUM(Table39101217[WW])</f>
        <v>1.7000000000000004</v>
      </c>
      <c r="G111" s="1">
        <f>SUM(Table39101217[I])</f>
        <v>1.7000000000000004</v>
      </c>
      <c r="H111" s="1">
        <f>SUM(Table39101217[D])</f>
        <v>2.0500000000000003</v>
      </c>
      <c r="I111" s="1">
        <f>SUM(Table39101217[C])</f>
        <v>1</v>
      </c>
    </row>
    <row r="113" spans="1:10" x14ac:dyDescent="0.25">
      <c r="A113" s="6" t="s">
        <v>2302</v>
      </c>
      <c r="I113" s="61">
        <f>(D133-0.3)*10*20*0.9</f>
        <v>495.00000000000011</v>
      </c>
    </row>
    <row r="114" spans="1:10" x14ac:dyDescent="0.25">
      <c r="A114" t="s">
        <v>1956</v>
      </c>
      <c r="B114" t="s">
        <v>249</v>
      </c>
      <c r="C114" t="s">
        <v>1958</v>
      </c>
      <c r="D114" s="1" t="s">
        <v>1284</v>
      </c>
      <c r="E114" s="1" t="s">
        <v>22</v>
      </c>
      <c r="F114" s="1" t="s">
        <v>23</v>
      </c>
      <c r="G114" s="1" t="s">
        <v>26</v>
      </c>
      <c r="H114" s="1" t="s">
        <v>25</v>
      </c>
      <c r="I114" s="1" t="s">
        <v>24</v>
      </c>
    </row>
    <row r="115" spans="1:10" x14ac:dyDescent="0.25">
      <c r="A115" s="60" t="s">
        <v>52</v>
      </c>
      <c r="B115" t="str">
        <f t="shared" ref="B115:B132" si="40">LOOKUP($A115,$X:$X,Y:Y)</f>
        <v>Pumps</v>
      </c>
      <c r="C115" t="str">
        <f t="shared" ref="C115:C132" si="41">LOOKUP($A115,$X:$X,Z:Z)</f>
        <v>25-06046-002</v>
      </c>
      <c r="D115" s="1">
        <f t="shared" ref="D115:D132" si="42">LOOKUP($A115,$X:$X,AA:AA)</f>
        <v>0.2</v>
      </c>
      <c r="E115" s="1">
        <f t="shared" ref="E115:E132" si="43">LOOKUP($A115,$X:$X,AB:AB)</f>
        <v>0.2</v>
      </c>
      <c r="F115" s="1">
        <f t="shared" ref="F115:F132" si="44">LOOKUP($A115,$X:$X,AC:AC)</f>
        <v>0.2</v>
      </c>
      <c r="G115" s="1">
        <f t="shared" ref="G115:G132" si="45">LOOKUP($A115,$X:$X,AD:AD)</f>
        <v>0.2</v>
      </c>
      <c r="H115" s="1">
        <f t="shared" ref="H115:H132" si="46">LOOKUP($A115,$X:$X,AE:AE)</f>
        <v>0.2</v>
      </c>
      <c r="I115" s="1">
        <f t="shared" ref="I115:I132" si="47">LOOKUP($A115,$X:$X,AF:AF)</f>
        <v>0.2</v>
      </c>
    </row>
    <row r="116" spans="1:10" x14ac:dyDescent="0.25">
      <c r="A116" s="60" t="s">
        <v>53</v>
      </c>
      <c r="B116" t="str">
        <f t="shared" si="40"/>
        <v>Hydraulics Basics</v>
      </c>
      <c r="C116" t="str">
        <f t="shared" si="41"/>
        <v>25-05990-001</v>
      </c>
      <c r="D116" s="1">
        <f t="shared" si="42"/>
        <v>0.15</v>
      </c>
      <c r="E116" s="1">
        <f t="shared" si="43"/>
        <v>0.15</v>
      </c>
      <c r="F116" s="1">
        <f t="shared" si="44"/>
        <v>0.15</v>
      </c>
      <c r="G116" s="1">
        <f t="shared" si="45"/>
        <v>0.15</v>
      </c>
      <c r="H116" s="1">
        <f t="shared" si="46"/>
        <v>0.15</v>
      </c>
      <c r="I116" s="1">
        <f t="shared" si="47"/>
        <v>0.15</v>
      </c>
      <c r="J116" s="25"/>
    </row>
    <row r="117" spans="1:10" x14ac:dyDescent="0.25">
      <c r="A117" s="60" t="s">
        <v>56</v>
      </c>
      <c r="B117" t="str">
        <f t="shared" si="40"/>
        <v>Corrosion Control</v>
      </c>
      <c r="C117" t="str">
        <f t="shared" si="41"/>
        <v>25-05992-001</v>
      </c>
      <c r="D117" s="1">
        <f t="shared" si="42"/>
        <v>0.25</v>
      </c>
      <c r="E117" s="1">
        <f t="shared" si="43"/>
        <v>0.25</v>
      </c>
      <c r="F117" s="1">
        <f t="shared" si="44"/>
        <v>0.25</v>
      </c>
      <c r="G117" s="1">
        <f t="shared" si="45"/>
        <v>0.25</v>
      </c>
      <c r="H117" s="1">
        <f t="shared" si="46"/>
        <v>0.25</v>
      </c>
      <c r="I117" s="1">
        <f t="shared" si="47"/>
        <v>0.25</v>
      </c>
    </row>
    <row r="118" spans="1:10" x14ac:dyDescent="0.25">
      <c r="A118" s="60" t="s">
        <v>489</v>
      </c>
      <c r="B118" t="str">
        <f t="shared" si="40"/>
        <v>Maintenance</v>
      </c>
      <c r="C118" t="str">
        <f t="shared" si="41"/>
        <v>25-05993-001</v>
      </c>
      <c r="D118" s="1">
        <f t="shared" si="42"/>
        <v>0.15</v>
      </c>
      <c r="E118" s="1">
        <f t="shared" si="43"/>
        <v>0.15</v>
      </c>
      <c r="F118" s="1">
        <f t="shared" si="44"/>
        <v>0.15</v>
      </c>
      <c r="G118" s="1">
        <f t="shared" si="45"/>
        <v>0.15</v>
      </c>
      <c r="H118" s="1">
        <f t="shared" si="46"/>
        <v>0.15</v>
      </c>
      <c r="I118" s="1">
        <f t="shared" si="47"/>
        <v>0.15</v>
      </c>
    </row>
    <row r="119" spans="1:10" x14ac:dyDescent="0.25">
      <c r="A119" s="60" t="s">
        <v>107</v>
      </c>
      <c r="B119" t="str">
        <f t="shared" si="40"/>
        <v>Electrical Fundamentals</v>
      </c>
      <c r="C119" t="str">
        <f t="shared" si="41"/>
        <v>25-05994-001</v>
      </c>
      <c r="D119" s="1">
        <f t="shared" si="42"/>
        <v>0.15</v>
      </c>
      <c r="E119" s="1">
        <f t="shared" si="43"/>
        <v>0.15</v>
      </c>
      <c r="F119" s="1">
        <f t="shared" si="44"/>
        <v>0.15</v>
      </c>
      <c r="G119" s="1">
        <f t="shared" si="45"/>
        <v>0.15</v>
      </c>
      <c r="H119" s="1">
        <f t="shared" si="46"/>
        <v>0.15</v>
      </c>
      <c r="I119" s="1">
        <f t="shared" si="47"/>
        <v>0.15</v>
      </c>
    </row>
    <row r="120" spans="1:10" x14ac:dyDescent="0.25">
      <c r="A120" s="60" t="s">
        <v>490</v>
      </c>
      <c r="B120" t="str">
        <f t="shared" si="40"/>
        <v>Disinfection Byproducts</v>
      </c>
      <c r="C120" t="str">
        <f t="shared" si="41"/>
        <v>25-05996-001</v>
      </c>
      <c r="D120" s="1">
        <f t="shared" si="42"/>
        <v>0.15</v>
      </c>
      <c r="E120" s="1">
        <f t="shared" si="43"/>
        <v>0.15</v>
      </c>
      <c r="F120" s="1">
        <f t="shared" si="44"/>
        <v>0</v>
      </c>
      <c r="G120" s="1">
        <f t="shared" si="45"/>
        <v>0</v>
      </c>
      <c r="H120" s="1">
        <f t="shared" si="46"/>
        <v>0.15</v>
      </c>
      <c r="I120" s="1">
        <f t="shared" si="47"/>
        <v>0</v>
      </c>
    </row>
    <row r="121" spans="1:10" x14ac:dyDescent="0.25">
      <c r="A121" s="60" t="s">
        <v>1056</v>
      </c>
      <c r="B121" t="str">
        <f t="shared" si="40"/>
        <v>Backflow Preventers</v>
      </c>
      <c r="C121" t="str">
        <f t="shared" si="41"/>
        <v>25-08959-001</v>
      </c>
      <c r="D121" s="1">
        <f t="shared" si="42"/>
        <v>0.05</v>
      </c>
      <c r="E121" s="1">
        <f t="shared" si="43"/>
        <v>0.05</v>
      </c>
      <c r="F121" s="1">
        <f t="shared" si="44"/>
        <v>0.05</v>
      </c>
      <c r="G121" s="1">
        <f t="shared" si="45"/>
        <v>0.05</v>
      </c>
      <c r="H121" s="1">
        <f t="shared" si="46"/>
        <v>0.05</v>
      </c>
      <c r="I121" s="1">
        <f t="shared" si="47"/>
        <v>0.05</v>
      </c>
    </row>
    <row r="122" spans="1:10" x14ac:dyDescent="0.25">
      <c r="A122" s="60" t="s">
        <v>495</v>
      </c>
      <c r="B122" t="str">
        <f t="shared" si="40"/>
        <v>Laboratory - pH, Alkalinity, and Hardness</v>
      </c>
      <c r="C122" t="str">
        <f t="shared" si="41"/>
        <v>25-07704-001</v>
      </c>
      <c r="D122" s="1">
        <f t="shared" si="42"/>
        <v>0.2</v>
      </c>
      <c r="E122" s="1">
        <f t="shared" si="43"/>
        <v>0.2</v>
      </c>
      <c r="F122" s="1">
        <f t="shared" si="44"/>
        <v>0.2</v>
      </c>
      <c r="G122" s="1">
        <f t="shared" si="45"/>
        <v>0.2</v>
      </c>
      <c r="H122" s="1">
        <f t="shared" si="46"/>
        <v>0.2</v>
      </c>
      <c r="I122" s="1">
        <f t="shared" si="47"/>
        <v>0.05</v>
      </c>
    </row>
    <row r="123" spans="1:10" x14ac:dyDescent="0.25">
      <c r="A123" s="60" t="s">
        <v>499</v>
      </c>
      <c r="B123" t="str">
        <f t="shared" si="40"/>
        <v>Laboratory - Chlorine Residual by DPD</v>
      </c>
      <c r="C123" t="str">
        <f t="shared" si="41"/>
        <v>25-07709-001</v>
      </c>
      <c r="D123" s="1">
        <f t="shared" si="42"/>
        <v>0.05</v>
      </c>
      <c r="E123" s="1">
        <f t="shared" si="43"/>
        <v>0.05</v>
      </c>
      <c r="F123" s="1">
        <f t="shared" si="44"/>
        <v>0.05</v>
      </c>
      <c r="G123" s="1">
        <f t="shared" si="45"/>
        <v>0.05</v>
      </c>
      <c r="H123" s="1">
        <f t="shared" si="46"/>
        <v>0.05</v>
      </c>
      <c r="I123" s="1">
        <f t="shared" si="47"/>
        <v>0</v>
      </c>
    </row>
    <row r="124" spans="1:10" x14ac:dyDescent="0.25">
      <c r="A124" s="60" t="s">
        <v>502</v>
      </c>
      <c r="B124" t="str">
        <f t="shared" si="40"/>
        <v>Laboratory - Jar Testing</v>
      </c>
      <c r="C124" t="str">
        <f t="shared" si="41"/>
        <v>25-07639-001</v>
      </c>
      <c r="D124" s="1">
        <f t="shared" si="42"/>
        <v>0.1</v>
      </c>
      <c r="E124" s="1">
        <f t="shared" si="43"/>
        <v>0.1</v>
      </c>
      <c r="F124" s="1">
        <f t="shared" si="44"/>
        <v>0.1</v>
      </c>
      <c r="G124" s="1">
        <f t="shared" si="45"/>
        <v>0.1</v>
      </c>
      <c r="H124" s="1">
        <f t="shared" si="46"/>
        <v>0</v>
      </c>
      <c r="I124" s="1">
        <f t="shared" si="47"/>
        <v>0</v>
      </c>
    </row>
    <row r="125" spans="1:10" x14ac:dyDescent="0.25">
      <c r="A125" s="60" t="s">
        <v>62</v>
      </c>
      <c r="B125" t="str">
        <f t="shared" si="40"/>
        <v>Trenching and Shoring</v>
      </c>
      <c r="C125" t="str">
        <f t="shared" si="41"/>
        <v>25-05998-001</v>
      </c>
      <c r="D125" s="1">
        <f t="shared" si="42"/>
        <v>0.25</v>
      </c>
      <c r="E125" s="1">
        <f t="shared" si="43"/>
        <v>0</v>
      </c>
      <c r="F125" s="1">
        <f t="shared" si="44"/>
        <v>0</v>
      </c>
      <c r="G125" s="1">
        <f t="shared" si="45"/>
        <v>0</v>
      </c>
      <c r="H125" s="1">
        <f t="shared" si="46"/>
        <v>0.25</v>
      </c>
      <c r="I125" s="1">
        <f t="shared" si="47"/>
        <v>0.25</v>
      </c>
    </row>
    <row r="126" spans="1:10" x14ac:dyDescent="0.25">
      <c r="A126" s="60" t="str">
        <f>X56</f>
        <v>WATER-011</v>
      </c>
      <c r="B126" t="str">
        <f t="shared" si="40"/>
        <v>Water Storage Tanks Part 3 - Inspections</v>
      </c>
      <c r="C126" t="str">
        <f t="shared" si="41"/>
        <v>25-10978-001</v>
      </c>
      <c r="D126" s="1">
        <f t="shared" si="42"/>
        <v>0.1</v>
      </c>
      <c r="E126" s="1">
        <f t="shared" si="43"/>
        <v>0.1</v>
      </c>
      <c r="F126" s="1">
        <f t="shared" si="44"/>
        <v>0.1</v>
      </c>
      <c r="G126" s="1">
        <f t="shared" si="45"/>
        <v>0.1</v>
      </c>
      <c r="H126" s="1">
        <f t="shared" si="46"/>
        <v>0.1</v>
      </c>
      <c r="I126" s="1">
        <f t="shared" si="47"/>
        <v>0</v>
      </c>
    </row>
    <row r="127" spans="1:10" x14ac:dyDescent="0.25">
      <c r="A127" s="60" t="s">
        <v>90</v>
      </c>
      <c r="B127" t="str">
        <f t="shared" si="40"/>
        <v>Water Sources Part 1</v>
      </c>
      <c r="C127" t="str">
        <f t="shared" si="41"/>
        <v>25-06035-001</v>
      </c>
      <c r="D127" s="1">
        <f t="shared" si="42"/>
        <v>0.15</v>
      </c>
      <c r="E127" s="1">
        <f t="shared" si="43"/>
        <v>0.15</v>
      </c>
      <c r="F127" s="1">
        <f t="shared" si="44"/>
        <v>0</v>
      </c>
      <c r="G127" s="1">
        <f t="shared" si="45"/>
        <v>0</v>
      </c>
      <c r="H127" s="1">
        <f t="shared" si="46"/>
        <v>0.15</v>
      </c>
      <c r="I127" s="1">
        <f t="shared" si="47"/>
        <v>0</v>
      </c>
    </row>
    <row r="128" spans="1:10" x14ac:dyDescent="0.25">
      <c r="A128" s="60" t="s">
        <v>91</v>
      </c>
      <c r="B128" t="str">
        <f t="shared" si="40"/>
        <v>Water Sources Part 2</v>
      </c>
      <c r="C128" t="str">
        <f t="shared" si="41"/>
        <v>25-06036-001</v>
      </c>
      <c r="D128" s="1">
        <f t="shared" si="42"/>
        <v>0.1</v>
      </c>
      <c r="E128" s="1">
        <f t="shared" si="43"/>
        <v>0.1</v>
      </c>
      <c r="F128" s="1">
        <f t="shared" si="44"/>
        <v>0</v>
      </c>
      <c r="G128" s="1">
        <f t="shared" si="45"/>
        <v>0.1</v>
      </c>
      <c r="H128" s="1">
        <f t="shared" si="46"/>
        <v>0.1</v>
      </c>
      <c r="I128" s="1">
        <f t="shared" si="47"/>
        <v>0</v>
      </c>
    </row>
    <row r="129" spans="1:10" x14ac:dyDescent="0.25">
      <c r="A129" s="60" t="s">
        <v>92</v>
      </c>
      <c r="B129" t="str">
        <f t="shared" si="40"/>
        <v>Drinking Water Treatment Part 1</v>
      </c>
      <c r="C129" t="str">
        <f t="shared" si="41"/>
        <v>25-06037-001</v>
      </c>
      <c r="D129" s="1">
        <f t="shared" si="42"/>
        <v>0.25</v>
      </c>
      <c r="E129" s="1">
        <f t="shared" si="43"/>
        <v>0.25</v>
      </c>
      <c r="F129" s="1">
        <f t="shared" si="44"/>
        <v>0</v>
      </c>
      <c r="G129" s="1">
        <f t="shared" si="45"/>
        <v>0</v>
      </c>
      <c r="H129" s="1">
        <f t="shared" si="46"/>
        <v>0</v>
      </c>
      <c r="I129" s="1">
        <f t="shared" si="47"/>
        <v>0</v>
      </c>
    </row>
    <row r="130" spans="1:10" x14ac:dyDescent="0.25">
      <c r="A130" s="60" t="s">
        <v>93</v>
      </c>
      <c r="B130" t="str">
        <f t="shared" si="40"/>
        <v>Water Treatment Part 2 (Disinfection, Water Focus)</v>
      </c>
      <c r="C130" t="str">
        <f t="shared" si="41"/>
        <v>25-06038-001</v>
      </c>
      <c r="D130" s="1">
        <f t="shared" si="42"/>
        <v>0.25</v>
      </c>
      <c r="E130" s="1">
        <f t="shared" si="43"/>
        <v>0.25</v>
      </c>
      <c r="F130" s="1">
        <f t="shared" si="44"/>
        <v>0.25</v>
      </c>
      <c r="G130" s="1">
        <f t="shared" si="45"/>
        <v>0.25</v>
      </c>
      <c r="H130" s="1">
        <f t="shared" si="46"/>
        <v>0.25</v>
      </c>
      <c r="I130" s="1">
        <f t="shared" si="47"/>
        <v>0</v>
      </c>
    </row>
    <row r="131" spans="1:10" x14ac:dyDescent="0.25">
      <c r="A131" s="60" t="s">
        <v>94</v>
      </c>
      <c r="B131" t="str">
        <f t="shared" si="40"/>
        <v>Intro to Distribution Systems</v>
      </c>
      <c r="C131" t="str">
        <f t="shared" si="41"/>
        <v>25-06696-001</v>
      </c>
      <c r="D131" s="1">
        <f t="shared" si="42"/>
        <v>0.2</v>
      </c>
      <c r="E131" s="1">
        <f t="shared" si="43"/>
        <v>0.1</v>
      </c>
      <c r="F131" s="1">
        <f t="shared" si="44"/>
        <v>0.1</v>
      </c>
      <c r="G131" s="1">
        <f t="shared" si="45"/>
        <v>0.1</v>
      </c>
      <c r="H131" s="1">
        <f t="shared" si="46"/>
        <v>0.2</v>
      </c>
      <c r="I131" s="1">
        <f t="shared" si="47"/>
        <v>0.1</v>
      </c>
    </row>
    <row r="132" spans="1:10" x14ac:dyDescent="0.25">
      <c r="A132" t="s">
        <v>95</v>
      </c>
      <c r="B132" t="str">
        <f t="shared" si="40"/>
        <v>MRT Drinking Water Regulatory Course</v>
      </c>
      <c r="C132" t="str">
        <f t="shared" si="41"/>
        <v>25-06743-002</v>
      </c>
      <c r="D132" s="1">
        <f t="shared" si="42"/>
        <v>0.3</v>
      </c>
      <c r="E132" s="1">
        <f t="shared" si="43"/>
        <v>0.3</v>
      </c>
      <c r="F132" s="1">
        <f t="shared" si="44"/>
        <v>0</v>
      </c>
      <c r="G132" s="1">
        <f t="shared" si="45"/>
        <v>0</v>
      </c>
      <c r="H132" s="1">
        <f t="shared" si="46"/>
        <v>0.3</v>
      </c>
      <c r="I132" s="1">
        <f t="shared" si="47"/>
        <v>0</v>
      </c>
    </row>
    <row r="133" spans="1:10" x14ac:dyDescent="0.25">
      <c r="A133" t="s">
        <v>287</v>
      </c>
      <c r="D133" s="1">
        <f>SUM(Table39101218[Max])</f>
        <v>3.0500000000000003</v>
      </c>
      <c r="E133" s="1">
        <f>SUM(Table39101218[W])</f>
        <v>2.7</v>
      </c>
      <c r="F133" s="1">
        <f>SUM(Table39101218[WW])</f>
        <v>1.7500000000000004</v>
      </c>
      <c r="G133" s="1">
        <f>SUM(Table39101218[I])</f>
        <v>1.8500000000000005</v>
      </c>
      <c r="H133" s="1">
        <f>SUM(Table39101218[D])</f>
        <v>2.7</v>
      </c>
      <c r="I133" s="1">
        <f>SUM(Table39101218[C])</f>
        <v>1.35</v>
      </c>
    </row>
    <row r="135" spans="1:10" x14ac:dyDescent="0.25">
      <c r="A135" s="6" t="s">
        <v>2303</v>
      </c>
      <c r="I135" s="61">
        <f>(D148-0.25)*10*20*0.9</f>
        <v>297</v>
      </c>
    </row>
    <row r="136" spans="1:10" x14ac:dyDescent="0.25">
      <c r="A136" t="s">
        <v>1956</v>
      </c>
      <c r="B136" t="s">
        <v>249</v>
      </c>
      <c r="C136" t="s">
        <v>1958</v>
      </c>
      <c r="D136" s="1" t="s">
        <v>1284</v>
      </c>
      <c r="E136" s="1" t="s">
        <v>22</v>
      </c>
      <c r="F136" s="1" t="s">
        <v>23</v>
      </c>
      <c r="G136" s="1" t="s">
        <v>26</v>
      </c>
      <c r="H136" s="1" t="s">
        <v>25</v>
      </c>
      <c r="I136" s="1" t="s">
        <v>24</v>
      </c>
      <c r="J136" s="25"/>
    </row>
    <row r="137" spans="1:10" x14ac:dyDescent="0.25">
      <c r="A137" s="60" t="s">
        <v>52</v>
      </c>
      <c r="B137" t="str">
        <f t="shared" ref="B137:B147" si="48">LOOKUP($A137,$X:$X,Y:Y)</f>
        <v>Pumps</v>
      </c>
      <c r="C137" t="str">
        <f t="shared" ref="C137:C147" si="49">LOOKUP($A137,$X:$X,Z:Z)</f>
        <v>25-06046-002</v>
      </c>
      <c r="D137" s="1">
        <f t="shared" ref="D137:D147" si="50">LOOKUP($A137,$X:$X,AA:AA)</f>
        <v>0.2</v>
      </c>
      <c r="E137" s="1">
        <f t="shared" ref="E137:E147" si="51">LOOKUP($A137,$X:$X,AB:AB)</f>
        <v>0.2</v>
      </c>
      <c r="F137" s="1">
        <f t="shared" ref="F137:F147" si="52">LOOKUP($A137,$X:$X,AC:AC)</f>
        <v>0.2</v>
      </c>
      <c r="G137" s="1">
        <f t="shared" ref="G137:G147" si="53">LOOKUP($A137,$X:$X,AD:AD)</f>
        <v>0.2</v>
      </c>
      <c r="H137" s="1">
        <f t="shared" ref="H137:H147" si="54">LOOKUP($A137,$X:$X,AE:AE)</f>
        <v>0.2</v>
      </c>
      <c r="I137" s="1">
        <f t="shared" ref="I137:I147" si="55">LOOKUP($A137,$X:$X,AF:AF)</f>
        <v>0.2</v>
      </c>
    </row>
    <row r="138" spans="1:10" x14ac:dyDescent="0.25">
      <c r="A138" s="60" t="s">
        <v>55</v>
      </c>
      <c r="B138" t="str">
        <f t="shared" si="48"/>
        <v>Aeration Systems</v>
      </c>
      <c r="C138" t="str">
        <f t="shared" si="49"/>
        <v>25-09505-001</v>
      </c>
      <c r="D138" s="1">
        <f t="shared" si="50"/>
        <v>0.15</v>
      </c>
      <c r="E138" s="1">
        <f t="shared" si="51"/>
        <v>0.15</v>
      </c>
      <c r="F138" s="1">
        <f t="shared" si="52"/>
        <v>0.15</v>
      </c>
      <c r="G138" s="1">
        <f t="shared" si="53"/>
        <v>0.15</v>
      </c>
      <c r="H138" s="1">
        <f t="shared" si="54"/>
        <v>0</v>
      </c>
      <c r="I138" s="1">
        <f t="shared" si="55"/>
        <v>0</v>
      </c>
    </row>
    <row r="139" spans="1:10" x14ac:dyDescent="0.25">
      <c r="A139" s="60" t="s">
        <v>107</v>
      </c>
      <c r="B139" t="str">
        <f t="shared" si="48"/>
        <v>Electrical Fundamentals</v>
      </c>
      <c r="C139" t="str">
        <f t="shared" si="49"/>
        <v>25-05994-001</v>
      </c>
      <c r="D139" s="1">
        <f t="shared" si="50"/>
        <v>0.15</v>
      </c>
      <c r="E139" s="1">
        <f t="shared" si="51"/>
        <v>0.15</v>
      </c>
      <c r="F139" s="1">
        <f t="shared" si="52"/>
        <v>0.15</v>
      </c>
      <c r="G139" s="1">
        <f t="shared" si="53"/>
        <v>0.15</v>
      </c>
      <c r="H139" s="1">
        <f t="shared" si="54"/>
        <v>0.15</v>
      </c>
      <c r="I139" s="1">
        <f t="shared" si="55"/>
        <v>0.15</v>
      </c>
    </row>
    <row r="140" spans="1:10" x14ac:dyDescent="0.25">
      <c r="A140" s="60" t="s">
        <v>60</v>
      </c>
      <c r="B140" t="str">
        <f t="shared" si="48"/>
        <v>Lift Stations</v>
      </c>
      <c r="C140" t="str">
        <f t="shared" si="49"/>
        <v>25-06003-001</v>
      </c>
      <c r="D140" s="1">
        <f t="shared" si="50"/>
        <v>0.2</v>
      </c>
      <c r="E140" s="1">
        <f t="shared" si="51"/>
        <v>0</v>
      </c>
      <c r="F140" s="1">
        <f t="shared" si="52"/>
        <v>0.2</v>
      </c>
      <c r="G140" s="1">
        <f t="shared" si="53"/>
        <v>0.2</v>
      </c>
      <c r="H140" s="1">
        <f t="shared" si="54"/>
        <v>0</v>
      </c>
      <c r="I140" s="1">
        <f t="shared" si="55"/>
        <v>0.2</v>
      </c>
    </row>
    <row r="141" spans="1:10" x14ac:dyDescent="0.25">
      <c r="A141" s="60" t="s">
        <v>497</v>
      </c>
      <c r="B141" t="str">
        <f t="shared" si="48"/>
        <v>Laboratory - Total Suspended Solids</v>
      </c>
      <c r="C141" t="str">
        <f t="shared" si="49"/>
        <v>25-06028-001</v>
      </c>
      <c r="D141" s="1">
        <f t="shared" si="50"/>
        <v>0.1</v>
      </c>
      <c r="E141" s="1">
        <f t="shared" si="51"/>
        <v>0.1</v>
      </c>
      <c r="F141" s="1">
        <f t="shared" si="52"/>
        <v>0.1</v>
      </c>
      <c r="G141" s="1">
        <f t="shared" si="53"/>
        <v>0.1</v>
      </c>
      <c r="H141" s="1">
        <f t="shared" si="54"/>
        <v>0</v>
      </c>
      <c r="I141" s="1">
        <f t="shared" si="55"/>
        <v>0</v>
      </c>
    </row>
    <row r="142" spans="1:10" x14ac:dyDescent="0.25">
      <c r="A142" s="60" t="s">
        <v>492</v>
      </c>
      <c r="B142" t="str">
        <f t="shared" si="48"/>
        <v>What's In My Wastewater: Definitions and Typical Ratios</v>
      </c>
      <c r="C142" t="str">
        <f t="shared" si="49"/>
        <v>25-06007-001</v>
      </c>
      <c r="D142" s="1">
        <f t="shared" si="50"/>
        <v>0.15</v>
      </c>
      <c r="E142" s="1">
        <f t="shared" si="51"/>
        <v>0</v>
      </c>
      <c r="F142" s="1">
        <f t="shared" si="52"/>
        <v>0.15</v>
      </c>
      <c r="G142" s="1">
        <f t="shared" si="53"/>
        <v>0.15</v>
      </c>
      <c r="H142" s="1">
        <f t="shared" si="54"/>
        <v>0</v>
      </c>
      <c r="I142" s="1">
        <f t="shared" si="55"/>
        <v>0</v>
      </c>
    </row>
    <row r="143" spans="1:10" x14ac:dyDescent="0.25">
      <c r="A143" s="60" t="s">
        <v>65</v>
      </c>
      <c r="B143" t="str">
        <f t="shared" si="48"/>
        <v>Preliminary Treatment</v>
      </c>
      <c r="C143" t="str">
        <f t="shared" si="49"/>
        <v>25-09381-001</v>
      </c>
      <c r="D143" s="1">
        <f t="shared" si="50"/>
        <v>0.1</v>
      </c>
      <c r="E143" s="1">
        <f t="shared" si="51"/>
        <v>0.05</v>
      </c>
      <c r="F143" s="1">
        <f t="shared" si="52"/>
        <v>0.1</v>
      </c>
      <c r="G143" s="1">
        <f t="shared" si="53"/>
        <v>0.1</v>
      </c>
      <c r="H143" s="1">
        <f t="shared" si="54"/>
        <v>0</v>
      </c>
      <c r="I143" s="1">
        <f t="shared" si="55"/>
        <v>0.05</v>
      </c>
    </row>
    <row r="144" spans="1:10" x14ac:dyDescent="0.25">
      <c r="A144" s="60" t="s">
        <v>66</v>
      </c>
      <c r="B144" t="str">
        <f t="shared" si="48"/>
        <v xml:space="preserve">Primary Treatment </v>
      </c>
      <c r="C144" t="str">
        <f t="shared" si="49"/>
        <v>25-09382-001</v>
      </c>
      <c r="D144" s="1">
        <f t="shared" si="50"/>
        <v>0.2</v>
      </c>
      <c r="E144" s="1">
        <f t="shared" si="51"/>
        <v>0</v>
      </c>
      <c r="F144" s="1">
        <f t="shared" si="52"/>
        <v>0.2</v>
      </c>
      <c r="G144" s="1">
        <f t="shared" si="53"/>
        <v>0.2</v>
      </c>
      <c r="H144" s="1">
        <f t="shared" si="54"/>
        <v>0</v>
      </c>
      <c r="I144" s="1">
        <f t="shared" si="55"/>
        <v>0</v>
      </c>
    </row>
    <row r="145" spans="1:9" x14ac:dyDescent="0.25">
      <c r="A145" s="60" t="s">
        <v>68</v>
      </c>
      <c r="B145" t="str">
        <f t="shared" si="48"/>
        <v>Fixed Film: Trickling Filters and RBCs</v>
      </c>
      <c r="C145" t="str">
        <f t="shared" si="49"/>
        <v>25-06008-001</v>
      </c>
      <c r="D145" s="1">
        <f t="shared" si="50"/>
        <v>0.2</v>
      </c>
      <c r="E145" s="1">
        <f t="shared" si="51"/>
        <v>0</v>
      </c>
      <c r="F145" s="1">
        <f t="shared" si="52"/>
        <v>0.2</v>
      </c>
      <c r="G145" s="1">
        <f t="shared" si="53"/>
        <v>0.2</v>
      </c>
      <c r="H145" s="1">
        <f t="shared" si="54"/>
        <v>0</v>
      </c>
      <c r="I145" s="1">
        <f t="shared" si="55"/>
        <v>0</v>
      </c>
    </row>
    <row r="146" spans="1:9" x14ac:dyDescent="0.25">
      <c r="A146" s="60" t="s">
        <v>1793</v>
      </c>
      <c r="B146" t="str">
        <f t="shared" si="48"/>
        <v>Wastewater Treatment Lagoons</v>
      </c>
      <c r="C146" t="str">
        <f t="shared" si="49"/>
        <v>25-10618-001</v>
      </c>
      <c r="D146" s="1">
        <f t="shared" si="50"/>
        <v>0.2</v>
      </c>
      <c r="E146" s="1">
        <f t="shared" si="51"/>
        <v>0</v>
      </c>
      <c r="F146" s="1">
        <f t="shared" si="52"/>
        <v>0.2</v>
      </c>
      <c r="G146" s="1">
        <f t="shared" si="53"/>
        <v>0.2</v>
      </c>
      <c r="H146" s="1">
        <f t="shared" si="54"/>
        <v>0</v>
      </c>
      <c r="I146" s="1">
        <f t="shared" si="55"/>
        <v>0</v>
      </c>
    </row>
    <row r="147" spans="1:9" x14ac:dyDescent="0.25">
      <c r="A147" s="60" t="s">
        <v>742</v>
      </c>
      <c r="B147" t="str">
        <f t="shared" si="48"/>
        <v>MRT for Wastewater Treatment and Collection Systems</v>
      </c>
      <c r="C147" t="str">
        <f t="shared" si="49"/>
        <v>25-06840-002</v>
      </c>
      <c r="D147" s="1">
        <f t="shared" si="50"/>
        <v>0.25</v>
      </c>
      <c r="E147" s="1">
        <f t="shared" si="51"/>
        <v>0</v>
      </c>
      <c r="F147" s="1">
        <f t="shared" si="52"/>
        <v>0.25</v>
      </c>
      <c r="G147" s="1">
        <f t="shared" si="53"/>
        <v>0.25</v>
      </c>
      <c r="H147" s="1">
        <f t="shared" si="54"/>
        <v>0</v>
      </c>
      <c r="I147" s="1">
        <f t="shared" si="55"/>
        <v>0.25</v>
      </c>
    </row>
    <row r="148" spans="1:9" x14ac:dyDescent="0.25">
      <c r="A148" t="s">
        <v>287</v>
      </c>
      <c r="D148" s="1">
        <f>SUM(Table3910121820[Max])</f>
        <v>1.9</v>
      </c>
      <c r="E148" s="1">
        <f>SUM(Table3910121820[W])</f>
        <v>0.65</v>
      </c>
      <c r="F148" s="1">
        <f>SUM(Table3910121820[WW])</f>
        <v>1.9</v>
      </c>
      <c r="G148" s="1">
        <f>SUM(Table3910121820[I])</f>
        <v>1.9</v>
      </c>
      <c r="H148" s="1">
        <f>SUM(Table3910121820[D])</f>
        <v>0.35</v>
      </c>
      <c r="I148" s="1">
        <f>SUM(Table3910121820[C])</f>
        <v>0.85000000000000009</v>
      </c>
    </row>
    <row r="150" spans="1:9" x14ac:dyDescent="0.25">
      <c r="A150" s="6" t="s">
        <v>2304</v>
      </c>
      <c r="I150" s="61">
        <f>(D159-0.25)*10*20*0.9</f>
        <v>189</v>
      </c>
    </row>
    <row r="151" spans="1:9" x14ac:dyDescent="0.25">
      <c r="A151" t="s">
        <v>1956</v>
      </c>
      <c r="B151" t="s">
        <v>249</v>
      </c>
      <c r="C151" t="s">
        <v>1958</v>
      </c>
      <c r="D151" s="1" t="s">
        <v>1284</v>
      </c>
      <c r="E151" s="1" t="s">
        <v>22</v>
      </c>
      <c r="F151" s="1" t="s">
        <v>23</v>
      </c>
      <c r="G151" s="1" t="s">
        <v>26</v>
      </c>
      <c r="H151" s="1" t="s">
        <v>25</v>
      </c>
      <c r="I151" s="1" t="s">
        <v>24</v>
      </c>
    </row>
    <row r="152" spans="1:9" x14ac:dyDescent="0.25">
      <c r="A152" s="60" t="s">
        <v>52</v>
      </c>
      <c r="B152" t="str">
        <f t="shared" ref="B152:I158" si="56">LOOKUP($A152,$X:$X,Y:Y)</f>
        <v>Pumps</v>
      </c>
      <c r="C152" t="str">
        <f t="shared" si="56"/>
        <v>25-06046-002</v>
      </c>
      <c r="D152" s="1">
        <f t="shared" si="56"/>
        <v>0.2</v>
      </c>
      <c r="E152" s="1">
        <f t="shared" si="56"/>
        <v>0.2</v>
      </c>
      <c r="F152" s="1">
        <f t="shared" si="56"/>
        <v>0.2</v>
      </c>
      <c r="G152" s="1">
        <f t="shared" si="56"/>
        <v>0.2</v>
      </c>
      <c r="H152" s="1">
        <f t="shared" si="56"/>
        <v>0.2</v>
      </c>
      <c r="I152" s="1">
        <f t="shared" si="56"/>
        <v>0.2</v>
      </c>
    </row>
    <row r="153" spans="1:9" x14ac:dyDescent="0.25">
      <c r="A153" s="60" t="s">
        <v>60</v>
      </c>
      <c r="B153" t="str">
        <f t="shared" si="56"/>
        <v>Lift Stations</v>
      </c>
      <c r="C153" t="str">
        <f t="shared" si="56"/>
        <v>25-06003-001</v>
      </c>
      <c r="D153" s="1">
        <f t="shared" si="56"/>
        <v>0.2</v>
      </c>
      <c r="E153" s="1">
        <f t="shared" si="56"/>
        <v>0</v>
      </c>
      <c r="F153" s="1">
        <f t="shared" si="56"/>
        <v>0.2</v>
      </c>
      <c r="G153" s="1">
        <f t="shared" si="56"/>
        <v>0.2</v>
      </c>
      <c r="H153" s="1">
        <f t="shared" si="56"/>
        <v>0</v>
      </c>
      <c r="I153" s="1">
        <f t="shared" si="56"/>
        <v>0.2</v>
      </c>
    </row>
    <row r="154" spans="1:9" x14ac:dyDescent="0.25">
      <c r="A154" s="60" t="s">
        <v>492</v>
      </c>
      <c r="B154" t="str">
        <f t="shared" si="56"/>
        <v>What's In My Wastewater: Definitions and Typical Ratios</v>
      </c>
      <c r="C154" t="str">
        <f t="shared" si="56"/>
        <v>25-06007-001</v>
      </c>
      <c r="D154" s="1">
        <f t="shared" si="56"/>
        <v>0.15</v>
      </c>
      <c r="E154" s="1">
        <f t="shared" si="56"/>
        <v>0</v>
      </c>
      <c r="F154" s="1">
        <f t="shared" si="56"/>
        <v>0.15</v>
      </c>
      <c r="G154" s="1">
        <f t="shared" si="56"/>
        <v>0.15</v>
      </c>
      <c r="H154" s="1">
        <f t="shared" si="56"/>
        <v>0</v>
      </c>
      <c r="I154" s="1">
        <f t="shared" si="56"/>
        <v>0</v>
      </c>
    </row>
    <row r="155" spans="1:9" x14ac:dyDescent="0.25">
      <c r="A155" s="60" t="s">
        <v>65</v>
      </c>
      <c r="B155" t="str">
        <f t="shared" si="56"/>
        <v>Preliminary Treatment</v>
      </c>
      <c r="C155" t="str">
        <f t="shared" si="56"/>
        <v>25-09381-001</v>
      </c>
      <c r="D155" s="1">
        <f t="shared" si="56"/>
        <v>0.1</v>
      </c>
      <c r="E155" s="1">
        <f t="shared" si="56"/>
        <v>0.05</v>
      </c>
      <c r="F155" s="1">
        <f t="shared" si="56"/>
        <v>0.1</v>
      </c>
      <c r="G155" s="1">
        <f t="shared" si="56"/>
        <v>0.1</v>
      </c>
      <c r="H155" s="1">
        <f t="shared" si="56"/>
        <v>0</v>
      </c>
      <c r="I155" s="1">
        <f t="shared" si="56"/>
        <v>0.05</v>
      </c>
    </row>
    <row r="156" spans="1:9" x14ac:dyDescent="0.25">
      <c r="A156" s="60" t="s">
        <v>68</v>
      </c>
      <c r="B156" t="str">
        <f t="shared" si="56"/>
        <v>Fixed Film: Trickling Filters and RBCs</v>
      </c>
      <c r="C156" t="str">
        <f t="shared" si="56"/>
        <v>25-06008-001</v>
      </c>
      <c r="D156" s="1">
        <f t="shared" si="56"/>
        <v>0.2</v>
      </c>
      <c r="E156" s="1">
        <f t="shared" si="56"/>
        <v>0</v>
      </c>
      <c r="F156" s="1">
        <f t="shared" si="56"/>
        <v>0.2</v>
      </c>
      <c r="G156" s="1">
        <f t="shared" si="56"/>
        <v>0.2</v>
      </c>
      <c r="H156" s="1">
        <f t="shared" si="56"/>
        <v>0</v>
      </c>
      <c r="I156" s="1">
        <f t="shared" si="56"/>
        <v>0</v>
      </c>
    </row>
    <row r="157" spans="1:9" x14ac:dyDescent="0.25">
      <c r="A157" s="60" t="s">
        <v>1793</v>
      </c>
      <c r="B157" t="str">
        <f t="shared" si="56"/>
        <v>Wastewater Treatment Lagoons</v>
      </c>
      <c r="C157" t="str">
        <f t="shared" si="56"/>
        <v>25-10618-001</v>
      </c>
      <c r="D157" s="1">
        <f t="shared" si="56"/>
        <v>0.2</v>
      </c>
      <c r="E157" s="1">
        <f t="shared" si="56"/>
        <v>0</v>
      </c>
      <c r="F157" s="1">
        <f t="shared" si="56"/>
        <v>0.2</v>
      </c>
      <c r="G157" s="1">
        <f t="shared" si="56"/>
        <v>0.2</v>
      </c>
      <c r="H157" s="1">
        <f t="shared" si="56"/>
        <v>0</v>
      </c>
      <c r="I157" s="1">
        <f t="shared" si="56"/>
        <v>0</v>
      </c>
    </row>
    <row r="158" spans="1:9" x14ac:dyDescent="0.25">
      <c r="A158" s="60" t="s">
        <v>742</v>
      </c>
      <c r="B158" t="str">
        <f t="shared" si="56"/>
        <v>MRT for Wastewater Treatment and Collection Systems</v>
      </c>
      <c r="C158" t="str">
        <f t="shared" si="56"/>
        <v>25-06840-002</v>
      </c>
      <c r="D158" s="1">
        <f t="shared" si="56"/>
        <v>0.25</v>
      </c>
      <c r="E158" s="1">
        <f t="shared" si="56"/>
        <v>0</v>
      </c>
      <c r="F158" s="1">
        <f t="shared" si="56"/>
        <v>0.25</v>
      </c>
      <c r="G158" s="1">
        <f t="shared" si="56"/>
        <v>0.25</v>
      </c>
      <c r="H158" s="1">
        <f t="shared" si="56"/>
        <v>0</v>
      </c>
      <c r="I158" s="1">
        <f t="shared" si="56"/>
        <v>0.25</v>
      </c>
    </row>
    <row r="159" spans="1:9" x14ac:dyDescent="0.25">
      <c r="A159" t="s">
        <v>287</v>
      </c>
      <c r="D159" s="1">
        <f>SUM(Table3910121821[Max])</f>
        <v>1.3</v>
      </c>
      <c r="E159" s="1">
        <f>SUM(Table3910121821[W])</f>
        <v>0.25</v>
      </c>
      <c r="F159" s="1">
        <f>SUM(Table3910121821[WW])</f>
        <v>1.3</v>
      </c>
      <c r="G159" s="1">
        <f>SUM(Table3910121821[I])</f>
        <v>1.3</v>
      </c>
      <c r="H159" s="1">
        <f>SUM(Table3910121821[D])</f>
        <v>0.2</v>
      </c>
      <c r="I159" s="1">
        <f>SUM(Table3910121821[C])</f>
        <v>0.7</v>
      </c>
    </row>
    <row r="161" spans="1:12" x14ac:dyDescent="0.25">
      <c r="A161" s="6" t="s">
        <v>2305</v>
      </c>
      <c r="I161" s="61">
        <f>(D174-0.25)*10*20*0.9</f>
        <v>297</v>
      </c>
    </row>
    <row r="162" spans="1:12" x14ac:dyDescent="0.25">
      <c r="A162" t="s">
        <v>1956</v>
      </c>
      <c r="B162" t="s">
        <v>249</v>
      </c>
      <c r="C162" t="s">
        <v>1958</v>
      </c>
      <c r="D162" s="1" t="s">
        <v>1284</v>
      </c>
      <c r="E162" s="1" t="s">
        <v>22</v>
      </c>
      <c r="F162" s="1" t="s">
        <v>23</v>
      </c>
      <c r="G162" s="1" t="s">
        <v>26</v>
      </c>
      <c r="H162" s="1" t="s">
        <v>25</v>
      </c>
      <c r="I162" s="1" t="s">
        <v>24</v>
      </c>
    </row>
    <row r="163" spans="1:12" x14ac:dyDescent="0.25">
      <c r="A163" s="60" t="s">
        <v>52</v>
      </c>
      <c r="B163" t="str">
        <f t="shared" ref="B163:B173" si="57">LOOKUP($A163,$X:$X,Y:Y)</f>
        <v>Pumps</v>
      </c>
      <c r="C163" t="str">
        <f t="shared" ref="C163:C173" si="58">LOOKUP($A163,$X:$X,Z:Z)</f>
        <v>25-06046-002</v>
      </c>
      <c r="D163" s="1">
        <f t="shared" ref="D163:D173" si="59">LOOKUP($A163,$X:$X,AA:AA)</f>
        <v>0.2</v>
      </c>
      <c r="E163" s="1">
        <f t="shared" ref="E163:E173" si="60">LOOKUP($A163,$X:$X,AB:AB)</f>
        <v>0.2</v>
      </c>
      <c r="F163" s="1">
        <f t="shared" ref="F163:F173" si="61">LOOKUP($A163,$X:$X,AC:AC)</f>
        <v>0.2</v>
      </c>
      <c r="G163" s="1">
        <f t="shared" ref="G163:G173" si="62">LOOKUP($A163,$X:$X,AD:AD)</f>
        <v>0.2</v>
      </c>
      <c r="H163" s="1">
        <f t="shared" ref="H163:H173" si="63">LOOKUP($A163,$X:$X,AE:AE)</f>
        <v>0.2</v>
      </c>
      <c r="I163" s="1">
        <f t="shared" ref="I163:I173" si="64">LOOKUP($A163,$X:$X,AF:AF)</f>
        <v>0.2</v>
      </c>
    </row>
    <row r="164" spans="1:12" x14ac:dyDescent="0.25">
      <c r="A164" s="60" t="s">
        <v>60</v>
      </c>
      <c r="B164" t="str">
        <f t="shared" si="57"/>
        <v>Lift Stations</v>
      </c>
      <c r="C164" t="str">
        <f t="shared" si="58"/>
        <v>25-06003-001</v>
      </c>
      <c r="D164" s="1">
        <f t="shared" si="59"/>
        <v>0.2</v>
      </c>
      <c r="E164" s="1">
        <f t="shared" si="60"/>
        <v>0</v>
      </c>
      <c r="F164" s="1">
        <f t="shared" si="61"/>
        <v>0.2</v>
      </c>
      <c r="G164" s="1">
        <f t="shared" si="62"/>
        <v>0.2</v>
      </c>
      <c r="H164" s="1">
        <f t="shared" si="63"/>
        <v>0</v>
      </c>
      <c r="I164" s="1">
        <f t="shared" si="64"/>
        <v>0.2</v>
      </c>
    </row>
    <row r="165" spans="1:12" x14ac:dyDescent="0.25">
      <c r="A165" s="60" t="s">
        <v>65</v>
      </c>
      <c r="B165" t="str">
        <f t="shared" si="57"/>
        <v>Preliminary Treatment</v>
      </c>
      <c r="C165" t="str">
        <f t="shared" si="58"/>
        <v>25-09381-001</v>
      </c>
      <c r="D165" s="1">
        <f t="shared" si="59"/>
        <v>0.1</v>
      </c>
      <c r="E165" s="1">
        <f t="shared" si="60"/>
        <v>0.05</v>
      </c>
      <c r="F165" s="1">
        <f t="shared" si="61"/>
        <v>0.1</v>
      </c>
      <c r="G165" s="1">
        <f t="shared" si="62"/>
        <v>0.1</v>
      </c>
      <c r="H165" s="1">
        <f t="shared" si="63"/>
        <v>0</v>
      </c>
      <c r="I165" s="1">
        <f t="shared" si="64"/>
        <v>0.05</v>
      </c>
    </row>
    <row r="166" spans="1:12" x14ac:dyDescent="0.25">
      <c r="A166" s="60" t="str">
        <f>X61</f>
        <v>WWT-004</v>
      </c>
      <c r="B166" t="str">
        <f t="shared" si="57"/>
        <v xml:space="preserve">Primary Treatment </v>
      </c>
      <c r="C166" t="str">
        <f t="shared" si="58"/>
        <v>25-09382-001</v>
      </c>
      <c r="D166" s="1">
        <f t="shared" si="59"/>
        <v>0.2</v>
      </c>
      <c r="E166" s="1">
        <f t="shared" si="60"/>
        <v>0</v>
      </c>
      <c r="F166" s="1">
        <f t="shared" si="61"/>
        <v>0.2</v>
      </c>
      <c r="G166" s="1">
        <f t="shared" si="62"/>
        <v>0.2</v>
      </c>
      <c r="H166" s="1">
        <f t="shared" si="63"/>
        <v>0</v>
      </c>
      <c r="I166" s="1">
        <f t="shared" si="64"/>
        <v>0</v>
      </c>
    </row>
    <row r="167" spans="1:12" x14ac:dyDescent="0.25">
      <c r="A167" s="60" t="s">
        <v>68</v>
      </c>
      <c r="B167" t="str">
        <f t="shared" si="57"/>
        <v>Fixed Film: Trickling Filters and RBCs</v>
      </c>
      <c r="C167" t="str">
        <f t="shared" si="58"/>
        <v>25-06008-001</v>
      </c>
      <c r="D167" s="1">
        <f t="shared" si="59"/>
        <v>0.2</v>
      </c>
      <c r="E167" s="1">
        <f t="shared" si="60"/>
        <v>0</v>
      </c>
      <c r="F167" s="1">
        <f t="shared" si="61"/>
        <v>0.2</v>
      </c>
      <c r="G167" s="1">
        <f t="shared" si="62"/>
        <v>0.2</v>
      </c>
      <c r="H167" s="1">
        <f t="shared" si="63"/>
        <v>0</v>
      </c>
      <c r="I167" s="1">
        <f t="shared" si="64"/>
        <v>0</v>
      </c>
    </row>
    <row r="168" spans="1:12" x14ac:dyDescent="0.25">
      <c r="A168" s="60" t="s">
        <v>939</v>
      </c>
      <c r="B168" t="str">
        <f t="shared" si="57"/>
        <v>Activated Sludge Microbiology: A View Beneath the Surface</v>
      </c>
      <c r="C168" t="str">
        <f t="shared" si="58"/>
        <v>25-08900-001</v>
      </c>
      <c r="D168" s="1">
        <f t="shared" si="59"/>
        <v>0.1</v>
      </c>
      <c r="E168" s="1">
        <f t="shared" si="60"/>
        <v>0</v>
      </c>
      <c r="F168" s="1">
        <f t="shared" si="61"/>
        <v>0.1</v>
      </c>
      <c r="G168" s="1">
        <f t="shared" si="62"/>
        <v>0.1</v>
      </c>
      <c r="H168" s="1">
        <f t="shared" si="63"/>
        <v>0</v>
      </c>
      <c r="I168" s="1">
        <f t="shared" si="64"/>
        <v>0</v>
      </c>
    </row>
    <row r="169" spans="1:12" x14ac:dyDescent="0.25">
      <c r="A169" s="60" t="s">
        <v>940</v>
      </c>
      <c r="B169" t="str">
        <f t="shared" si="57"/>
        <v>Activated Sludge Microbiology: Microscope Basics and the Micro Exam</v>
      </c>
      <c r="C169" t="str">
        <f t="shared" si="58"/>
        <v>25-08901-001</v>
      </c>
      <c r="D169" s="1">
        <f t="shared" si="59"/>
        <v>0.1</v>
      </c>
      <c r="E169" s="1">
        <f t="shared" si="60"/>
        <v>0</v>
      </c>
      <c r="F169" s="1">
        <f t="shared" si="61"/>
        <v>0.1</v>
      </c>
      <c r="G169" s="1">
        <f t="shared" si="62"/>
        <v>0.1</v>
      </c>
      <c r="H169" s="1">
        <f t="shared" si="63"/>
        <v>0</v>
      </c>
      <c r="I169" s="1">
        <f t="shared" si="64"/>
        <v>0</v>
      </c>
    </row>
    <row r="170" spans="1:12" x14ac:dyDescent="0.25">
      <c r="A170" s="60" t="s">
        <v>74</v>
      </c>
      <c r="B170" t="str">
        <f t="shared" si="57"/>
        <v>Activated Sludge Microbiology: Filaments and Settling Problems</v>
      </c>
      <c r="C170" t="str">
        <f t="shared" si="58"/>
        <v>25-08902-001</v>
      </c>
      <c r="D170" s="1">
        <f t="shared" si="59"/>
        <v>0.1</v>
      </c>
      <c r="E170" s="1">
        <f t="shared" si="60"/>
        <v>0</v>
      </c>
      <c r="F170" s="1">
        <f t="shared" si="61"/>
        <v>0.1</v>
      </c>
      <c r="G170" s="1">
        <f t="shared" si="62"/>
        <v>0.1</v>
      </c>
      <c r="H170" s="1">
        <f t="shared" si="63"/>
        <v>0</v>
      </c>
      <c r="I170" s="1">
        <f t="shared" si="64"/>
        <v>0</v>
      </c>
    </row>
    <row r="171" spans="1:12" x14ac:dyDescent="0.25">
      <c r="A171" s="60" t="s">
        <v>81</v>
      </c>
      <c r="B171" t="str">
        <f t="shared" si="57"/>
        <v>Chlorine Disinfection</v>
      </c>
      <c r="C171" t="str">
        <f t="shared" si="58"/>
        <v>25-06020-001</v>
      </c>
      <c r="D171" s="1">
        <f t="shared" si="59"/>
        <v>0.25</v>
      </c>
      <c r="E171" s="1">
        <f t="shared" si="60"/>
        <v>0.25</v>
      </c>
      <c r="F171" s="1">
        <f t="shared" si="61"/>
        <v>0.25</v>
      </c>
      <c r="G171" s="1">
        <f t="shared" si="62"/>
        <v>0.25</v>
      </c>
      <c r="H171" s="1">
        <f t="shared" si="63"/>
        <v>0.25</v>
      </c>
      <c r="I171" s="1">
        <f t="shared" si="64"/>
        <v>0</v>
      </c>
    </row>
    <row r="172" spans="1:12" x14ac:dyDescent="0.25">
      <c r="A172" s="60" t="s">
        <v>742</v>
      </c>
      <c r="B172" t="str">
        <f t="shared" si="57"/>
        <v>MRT for Wastewater Treatment and Collection Systems</v>
      </c>
      <c r="C172" t="str">
        <f t="shared" si="58"/>
        <v>25-06840-002</v>
      </c>
      <c r="D172" s="1">
        <f t="shared" si="59"/>
        <v>0.25</v>
      </c>
      <c r="E172" s="1">
        <f t="shared" si="60"/>
        <v>0</v>
      </c>
      <c r="F172" s="1">
        <f t="shared" si="61"/>
        <v>0.25</v>
      </c>
      <c r="G172" s="1">
        <f t="shared" si="62"/>
        <v>0.25</v>
      </c>
      <c r="H172" s="1">
        <f t="shared" si="63"/>
        <v>0</v>
      </c>
      <c r="I172" s="1">
        <f t="shared" si="64"/>
        <v>0.25</v>
      </c>
    </row>
    <row r="173" spans="1:12" x14ac:dyDescent="0.25">
      <c r="A173" s="60" t="s">
        <v>1930</v>
      </c>
      <c r="B173" t="str">
        <f t="shared" si="57"/>
        <v>Gravity and Dissolved Air Floatation Thickeners</v>
      </c>
      <c r="C173" t="str">
        <f t="shared" si="58"/>
        <v>25-10671-001</v>
      </c>
      <c r="D173" s="1">
        <f t="shared" si="59"/>
        <v>0.2</v>
      </c>
      <c r="E173" s="1">
        <f t="shared" si="60"/>
        <v>0</v>
      </c>
      <c r="F173" s="1">
        <f t="shared" si="61"/>
        <v>0.2</v>
      </c>
      <c r="G173" s="1">
        <f t="shared" si="62"/>
        <v>0.2</v>
      </c>
      <c r="H173" s="1">
        <f t="shared" si="63"/>
        <v>0</v>
      </c>
      <c r="I173" s="1">
        <f t="shared" si="64"/>
        <v>0</v>
      </c>
    </row>
    <row r="174" spans="1:12" x14ac:dyDescent="0.25">
      <c r="A174" t="s">
        <v>287</v>
      </c>
      <c r="D174" s="1">
        <f>SUM(Table391012182123[Max])</f>
        <v>1.9</v>
      </c>
      <c r="E174" s="1">
        <f>SUM(Table391012182123[W])</f>
        <v>0.5</v>
      </c>
      <c r="F174" s="1">
        <f>SUM(Table391012182123[WW])</f>
        <v>1.9</v>
      </c>
      <c r="G174" s="1">
        <f>SUM(Table391012182123[I])</f>
        <v>1.9</v>
      </c>
      <c r="H174" s="1">
        <f>SUM(Table391012182123[D])</f>
        <v>0.45</v>
      </c>
      <c r="I174" s="1">
        <f>SUM(Table391012182123[C])</f>
        <v>0.7</v>
      </c>
    </row>
    <row r="176" spans="1:12" ht="18.75" x14ac:dyDescent="0.3">
      <c r="A176" s="6" t="s">
        <v>2306</v>
      </c>
      <c r="I176" s="61">
        <f>(D189-0.25)*10*20*0.9</f>
        <v>387</v>
      </c>
      <c r="L176" s="10"/>
    </row>
    <row r="177" spans="1:12" ht="18.75" x14ac:dyDescent="0.3">
      <c r="A177" t="s">
        <v>1956</v>
      </c>
      <c r="B177" t="s">
        <v>249</v>
      </c>
      <c r="C177" t="s">
        <v>1958</v>
      </c>
      <c r="D177" s="1" t="s">
        <v>1284</v>
      </c>
      <c r="E177" s="1" t="s">
        <v>22</v>
      </c>
      <c r="F177" s="1" t="s">
        <v>23</v>
      </c>
      <c r="G177" s="1" t="s">
        <v>26</v>
      </c>
      <c r="H177" s="1" t="s">
        <v>25</v>
      </c>
      <c r="I177" s="1" t="s">
        <v>24</v>
      </c>
      <c r="L177" s="10"/>
    </row>
    <row r="178" spans="1:12" ht="18.75" x14ac:dyDescent="0.3">
      <c r="A178" s="60" t="s">
        <v>60</v>
      </c>
      <c r="B178" t="str">
        <f t="shared" ref="B178:B188" si="65">LOOKUP($A178,$X:$X,Y:Y)</f>
        <v>Lift Stations</v>
      </c>
      <c r="C178" t="str">
        <f t="shared" ref="C178:C188" si="66">LOOKUP($A178,$X:$X,Z:Z)</f>
        <v>25-06003-001</v>
      </c>
      <c r="D178" s="1">
        <f t="shared" ref="D178:D188" si="67">LOOKUP($A178,$X:$X,AA:AA)</f>
        <v>0.2</v>
      </c>
      <c r="E178" s="1">
        <f t="shared" ref="E178:E188" si="68">LOOKUP($A178,$X:$X,AB:AB)</f>
        <v>0</v>
      </c>
      <c r="F178" s="1">
        <f t="shared" ref="F178:F188" si="69">LOOKUP($A178,$X:$X,AC:AC)</f>
        <v>0.2</v>
      </c>
      <c r="G178" s="1">
        <f t="shared" ref="G178:G188" si="70">LOOKUP($A178,$X:$X,AD:AD)</f>
        <v>0.2</v>
      </c>
      <c r="H178" s="1">
        <f t="shared" ref="H178:H188" si="71">LOOKUP($A178,$X:$X,AE:AE)</f>
        <v>0</v>
      </c>
      <c r="I178" s="1">
        <f t="shared" ref="I178:I188" si="72">LOOKUP($A178,$X:$X,AF:AF)</f>
        <v>0.2</v>
      </c>
      <c r="L178" s="10"/>
    </row>
    <row r="179" spans="1:12" ht="18.75" x14ac:dyDescent="0.3">
      <c r="A179" s="60" t="s">
        <v>73</v>
      </c>
      <c r="B179" t="str">
        <f t="shared" si="65"/>
        <v>Top 10 Questions for Activated Sludge Process Control</v>
      </c>
      <c r="C179" t="str">
        <f t="shared" si="66"/>
        <v>25-07727-001</v>
      </c>
      <c r="D179" s="1">
        <f t="shared" si="67"/>
        <v>0.25</v>
      </c>
      <c r="E179" s="1">
        <f t="shared" si="68"/>
        <v>0</v>
      </c>
      <c r="F179" s="1">
        <f t="shared" si="69"/>
        <v>0.25</v>
      </c>
      <c r="G179" s="1">
        <f t="shared" si="70"/>
        <v>0.25</v>
      </c>
      <c r="H179" s="1">
        <f t="shared" si="71"/>
        <v>0</v>
      </c>
      <c r="I179" s="1">
        <f t="shared" si="72"/>
        <v>0</v>
      </c>
      <c r="L179" s="10"/>
    </row>
    <row r="180" spans="1:12" ht="18.75" x14ac:dyDescent="0.3">
      <c r="A180" s="60" t="s">
        <v>77</v>
      </c>
      <c r="B180" t="str">
        <f t="shared" si="65"/>
        <v>Nitrification and Denitrification</v>
      </c>
      <c r="C180" t="str">
        <f t="shared" si="66"/>
        <v>25-06016-001</v>
      </c>
      <c r="D180" s="1">
        <f t="shared" si="67"/>
        <v>0.3</v>
      </c>
      <c r="E180" s="1">
        <f t="shared" si="68"/>
        <v>0.3</v>
      </c>
      <c r="F180" s="1">
        <f t="shared" si="69"/>
        <v>0.3</v>
      </c>
      <c r="G180" s="1">
        <f t="shared" si="70"/>
        <v>0.3</v>
      </c>
      <c r="H180" s="1">
        <f t="shared" si="71"/>
        <v>0</v>
      </c>
      <c r="I180" s="1">
        <f t="shared" si="72"/>
        <v>0</v>
      </c>
      <c r="L180" s="10"/>
    </row>
    <row r="181" spans="1:12" ht="18.75" x14ac:dyDescent="0.3">
      <c r="A181" s="60" t="s">
        <v>78</v>
      </c>
      <c r="B181" t="str">
        <f t="shared" si="65"/>
        <v>Biological and Chemical Phosphorus Removal</v>
      </c>
      <c r="C181" t="str">
        <f t="shared" si="66"/>
        <v>25-06017-001</v>
      </c>
      <c r="D181" s="1">
        <f t="shared" si="67"/>
        <v>0.2</v>
      </c>
      <c r="E181" s="1">
        <f t="shared" si="68"/>
        <v>0</v>
      </c>
      <c r="F181" s="1">
        <f t="shared" si="69"/>
        <v>0.2</v>
      </c>
      <c r="G181" s="1">
        <f t="shared" si="70"/>
        <v>0.2</v>
      </c>
      <c r="H181" s="1">
        <f t="shared" si="71"/>
        <v>0</v>
      </c>
      <c r="I181" s="1">
        <f t="shared" si="72"/>
        <v>0</v>
      </c>
      <c r="L181" s="10"/>
    </row>
    <row r="182" spans="1:12" ht="18.75" x14ac:dyDescent="0.3">
      <c r="A182" s="60" t="s">
        <v>79</v>
      </c>
      <c r="B182" t="str">
        <f t="shared" si="65"/>
        <v>State Point Analysis for Secondary Clarifiers</v>
      </c>
      <c r="C182" t="str">
        <f t="shared" si="66"/>
        <v>25-06018-001</v>
      </c>
      <c r="D182" s="1">
        <f t="shared" si="67"/>
        <v>0.15</v>
      </c>
      <c r="E182" s="1">
        <f t="shared" si="68"/>
        <v>0.15</v>
      </c>
      <c r="F182" s="1">
        <f t="shared" si="69"/>
        <v>0.15</v>
      </c>
      <c r="G182" s="1">
        <f t="shared" si="70"/>
        <v>0.15</v>
      </c>
      <c r="H182" s="1">
        <f t="shared" si="71"/>
        <v>0</v>
      </c>
      <c r="I182" s="1">
        <f t="shared" si="72"/>
        <v>0</v>
      </c>
      <c r="L182" s="10"/>
    </row>
    <row r="183" spans="1:12" ht="18.75" x14ac:dyDescent="0.3">
      <c r="A183" s="60" t="s">
        <v>81</v>
      </c>
      <c r="B183" t="str">
        <f t="shared" si="65"/>
        <v>Chlorine Disinfection</v>
      </c>
      <c r="C183" t="str">
        <f t="shared" si="66"/>
        <v>25-06020-001</v>
      </c>
      <c r="D183" s="1">
        <f t="shared" si="67"/>
        <v>0.25</v>
      </c>
      <c r="E183" s="1">
        <f t="shared" si="68"/>
        <v>0.25</v>
      </c>
      <c r="F183" s="1">
        <f t="shared" si="69"/>
        <v>0.25</v>
      </c>
      <c r="G183" s="1">
        <f t="shared" si="70"/>
        <v>0.25</v>
      </c>
      <c r="H183" s="1">
        <f t="shared" si="71"/>
        <v>0.25</v>
      </c>
      <c r="I183" s="1">
        <f t="shared" si="72"/>
        <v>0</v>
      </c>
      <c r="L183" s="10"/>
    </row>
    <row r="184" spans="1:12" ht="18.75" x14ac:dyDescent="0.3">
      <c r="A184" s="60" t="s">
        <v>84</v>
      </c>
      <c r="B184" t="str">
        <f t="shared" si="65"/>
        <v>Aerobic and Anaerobic Digestion</v>
      </c>
      <c r="C184" t="str">
        <f t="shared" si="66"/>
        <v>25-06023-001</v>
      </c>
      <c r="D184" s="1">
        <f t="shared" si="67"/>
        <v>0.3</v>
      </c>
      <c r="E184" s="1">
        <f t="shared" si="68"/>
        <v>0</v>
      </c>
      <c r="F184" s="1">
        <f t="shared" si="69"/>
        <v>0.3</v>
      </c>
      <c r="G184" s="1">
        <f t="shared" si="70"/>
        <v>0.3</v>
      </c>
      <c r="H184" s="1">
        <f t="shared" si="71"/>
        <v>0</v>
      </c>
      <c r="I184" s="1">
        <f t="shared" si="72"/>
        <v>0</v>
      </c>
      <c r="L184" s="10"/>
    </row>
    <row r="185" spans="1:12" ht="18.75" x14ac:dyDescent="0.3">
      <c r="A185" s="60" t="s">
        <v>85</v>
      </c>
      <c r="B185" t="str">
        <f t="shared" si="65"/>
        <v>Belt Filter Presses</v>
      </c>
      <c r="C185" t="str">
        <f t="shared" si="66"/>
        <v>25-06024-001</v>
      </c>
      <c r="D185" s="1">
        <f t="shared" si="67"/>
        <v>0.2</v>
      </c>
      <c r="E185" s="1">
        <f t="shared" si="68"/>
        <v>0.2</v>
      </c>
      <c r="F185" s="1">
        <f t="shared" si="69"/>
        <v>0.2</v>
      </c>
      <c r="G185" s="1">
        <f t="shared" si="70"/>
        <v>0.2</v>
      </c>
      <c r="H185" s="1">
        <f t="shared" si="71"/>
        <v>0</v>
      </c>
      <c r="I185" s="1">
        <f t="shared" si="72"/>
        <v>0</v>
      </c>
      <c r="L185" s="10"/>
    </row>
    <row r="186" spans="1:12" ht="18.75" x14ac:dyDescent="0.3">
      <c r="A186" s="60" t="s">
        <v>86</v>
      </c>
      <c r="B186" t="str">
        <f t="shared" si="65"/>
        <v>Centrifuges</v>
      </c>
      <c r="C186" t="str">
        <f t="shared" si="66"/>
        <v>25-06025-001</v>
      </c>
      <c r="D186" s="1">
        <f t="shared" si="67"/>
        <v>0.2</v>
      </c>
      <c r="E186" s="1">
        <f t="shared" si="68"/>
        <v>0.2</v>
      </c>
      <c r="F186" s="1">
        <f t="shared" si="69"/>
        <v>0.2</v>
      </c>
      <c r="G186" s="1">
        <f t="shared" si="70"/>
        <v>0.2</v>
      </c>
      <c r="H186" s="1">
        <f t="shared" si="71"/>
        <v>0</v>
      </c>
      <c r="I186" s="1">
        <f t="shared" si="72"/>
        <v>0</v>
      </c>
      <c r="L186" s="10"/>
    </row>
    <row r="187" spans="1:12" x14ac:dyDescent="0.25">
      <c r="A187" s="60" t="s">
        <v>742</v>
      </c>
      <c r="B187" t="str">
        <f t="shared" si="65"/>
        <v>MRT for Wastewater Treatment and Collection Systems</v>
      </c>
      <c r="C187" t="str">
        <f t="shared" si="66"/>
        <v>25-06840-002</v>
      </c>
      <c r="D187" s="1">
        <f t="shared" si="67"/>
        <v>0.25</v>
      </c>
      <c r="E187" s="1">
        <f t="shared" si="68"/>
        <v>0</v>
      </c>
      <c r="F187" s="1">
        <f t="shared" si="69"/>
        <v>0.25</v>
      </c>
      <c r="G187" s="1">
        <f t="shared" si="70"/>
        <v>0.25</v>
      </c>
      <c r="H187" s="1">
        <f t="shared" si="71"/>
        <v>0</v>
      </c>
      <c r="I187" s="1">
        <f t="shared" si="72"/>
        <v>0.25</v>
      </c>
    </row>
    <row r="188" spans="1:12" x14ac:dyDescent="0.25">
      <c r="A188" s="60" t="str">
        <f>X67</f>
        <v>WWT-007B</v>
      </c>
      <c r="B188" t="str">
        <f t="shared" si="65"/>
        <v>Subsurface Flow Wetlands for Wastewater Treatment</v>
      </c>
      <c r="C188" t="str">
        <f t="shared" si="66"/>
        <v>25-10616-001</v>
      </c>
      <c r="D188" s="1">
        <f t="shared" si="67"/>
        <v>0.1</v>
      </c>
      <c r="E188" s="1">
        <f t="shared" si="68"/>
        <v>0</v>
      </c>
      <c r="F188" s="1">
        <f t="shared" si="69"/>
        <v>0.1</v>
      </c>
      <c r="G188" s="1">
        <f t="shared" si="70"/>
        <v>0.1</v>
      </c>
      <c r="H188" s="1">
        <f t="shared" si="71"/>
        <v>0</v>
      </c>
      <c r="I188" s="1">
        <f t="shared" si="72"/>
        <v>0</v>
      </c>
    </row>
    <row r="189" spans="1:12" x14ac:dyDescent="0.25">
      <c r="A189" t="s">
        <v>287</v>
      </c>
      <c r="D189" s="1">
        <f>SUM(Table391012182125[Max])</f>
        <v>2.4</v>
      </c>
      <c r="E189" s="1">
        <f>SUM(Table391012182125[W])</f>
        <v>1.0999999999999999</v>
      </c>
      <c r="F189" s="1">
        <f>SUM(Table391012182125[WW])</f>
        <v>2.4</v>
      </c>
      <c r="G189" s="1">
        <f>SUM(Table391012182125[I])</f>
        <v>2.4</v>
      </c>
      <c r="H189" s="1">
        <f>SUM(Table391012182125[D])</f>
        <v>0.25</v>
      </c>
      <c r="I189" s="1">
        <f>SUM(Table391012182125[C])</f>
        <v>0.45</v>
      </c>
    </row>
    <row r="191" spans="1:12" x14ac:dyDescent="0.25">
      <c r="A191" s="6" t="s">
        <v>2307</v>
      </c>
      <c r="I191" s="61">
        <f>(D207-0.25)*10*20*0.9</f>
        <v>504.00000000000011</v>
      </c>
    </row>
    <row r="192" spans="1:12" x14ac:dyDescent="0.25">
      <c r="A192" t="s">
        <v>1956</v>
      </c>
      <c r="B192" t="s">
        <v>249</v>
      </c>
      <c r="C192" t="s">
        <v>1958</v>
      </c>
      <c r="D192" s="1" t="s">
        <v>1284</v>
      </c>
      <c r="E192" s="1" t="s">
        <v>22</v>
      </c>
      <c r="F192" s="1" t="s">
        <v>23</v>
      </c>
      <c r="G192" s="1" t="s">
        <v>26</v>
      </c>
      <c r="H192" s="1" t="s">
        <v>25</v>
      </c>
      <c r="I192" s="1" t="s">
        <v>24</v>
      </c>
    </row>
    <row r="193" spans="1:9" x14ac:dyDescent="0.25">
      <c r="A193" s="60" t="s">
        <v>55</v>
      </c>
      <c r="B193" t="str">
        <f t="shared" ref="B193:B206" si="73">LOOKUP($A193,$X:$X,Y:Y)</f>
        <v>Aeration Systems</v>
      </c>
      <c r="C193" t="str">
        <f t="shared" ref="C193:C206" si="74">LOOKUP($A193,$X:$X,Z:Z)</f>
        <v>25-09505-001</v>
      </c>
      <c r="D193" s="1">
        <f t="shared" ref="D193:D206" si="75">LOOKUP($A193,$X:$X,AA:AA)</f>
        <v>0.15</v>
      </c>
      <c r="E193" s="1">
        <f t="shared" ref="E193:E206" si="76">LOOKUP($A193,$X:$X,AB:AB)</f>
        <v>0.15</v>
      </c>
      <c r="F193" s="1">
        <f t="shared" ref="F193:F206" si="77">LOOKUP($A193,$X:$X,AC:AC)</f>
        <v>0.15</v>
      </c>
      <c r="G193" s="1">
        <f t="shared" ref="G193:G206" si="78">LOOKUP($A193,$X:$X,AD:AD)</f>
        <v>0.15</v>
      </c>
      <c r="H193" s="1">
        <f t="shared" ref="H193:H206" si="79">LOOKUP($A193,$X:$X,AE:AE)</f>
        <v>0</v>
      </c>
      <c r="I193" s="1">
        <f t="shared" ref="I193:I206" si="80">LOOKUP($A193,$X:$X,AF:AF)</f>
        <v>0</v>
      </c>
    </row>
    <row r="194" spans="1:9" x14ac:dyDescent="0.25">
      <c r="A194" s="60" t="s">
        <v>60</v>
      </c>
      <c r="B194" t="str">
        <f t="shared" si="73"/>
        <v>Lift Stations</v>
      </c>
      <c r="C194" t="str">
        <f t="shared" si="74"/>
        <v>25-06003-001</v>
      </c>
      <c r="D194" s="1">
        <f t="shared" si="75"/>
        <v>0.2</v>
      </c>
      <c r="E194" s="1">
        <f t="shared" si="76"/>
        <v>0</v>
      </c>
      <c r="F194" s="1">
        <f t="shared" si="77"/>
        <v>0.2</v>
      </c>
      <c r="G194" s="1">
        <f t="shared" si="78"/>
        <v>0.2</v>
      </c>
      <c r="H194" s="1">
        <f t="shared" si="79"/>
        <v>0</v>
      </c>
      <c r="I194" s="1">
        <f t="shared" si="80"/>
        <v>0.2</v>
      </c>
    </row>
    <row r="195" spans="1:9" x14ac:dyDescent="0.25">
      <c r="A195" s="60" t="s">
        <v>73</v>
      </c>
      <c r="B195" t="str">
        <f t="shared" si="73"/>
        <v>Top 10 Questions for Activated Sludge Process Control</v>
      </c>
      <c r="C195" t="str">
        <f t="shared" si="74"/>
        <v>25-07727-001</v>
      </c>
      <c r="D195" s="1">
        <f t="shared" si="75"/>
        <v>0.25</v>
      </c>
      <c r="E195" s="1">
        <f t="shared" si="76"/>
        <v>0</v>
      </c>
      <c r="F195" s="1">
        <f t="shared" si="77"/>
        <v>0.25</v>
      </c>
      <c r="G195" s="1">
        <f t="shared" si="78"/>
        <v>0.25</v>
      </c>
      <c r="H195" s="1">
        <f t="shared" si="79"/>
        <v>0</v>
      </c>
      <c r="I195" s="1">
        <f t="shared" si="80"/>
        <v>0</v>
      </c>
    </row>
    <row r="196" spans="1:9" x14ac:dyDescent="0.25">
      <c r="A196" s="60" t="s">
        <v>77</v>
      </c>
      <c r="B196" t="str">
        <f t="shared" si="73"/>
        <v>Nitrification and Denitrification</v>
      </c>
      <c r="C196" t="str">
        <f t="shared" si="74"/>
        <v>25-06016-001</v>
      </c>
      <c r="D196" s="1">
        <f t="shared" si="75"/>
        <v>0.3</v>
      </c>
      <c r="E196" s="1">
        <f t="shared" si="76"/>
        <v>0.3</v>
      </c>
      <c r="F196" s="1">
        <f t="shared" si="77"/>
        <v>0.3</v>
      </c>
      <c r="G196" s="1">
        <f t="shared" si="78"/>
        <v>0.3</v>
      </c>
      <c r="H196" s="1">
        <f t="shared" si="79"/>
        <v>0</v>
      </c>
      <c r="I196" s="1">
        <f t="shared" si="80"/>
        <v>0</v>
      </c>
    </row>
    <row r="197" spans="1:9" x14ac:dyDescent="0.25">
      <c r="A197" s="60" t="s">
        <v>78</v>
      </c>
      <c r="B197" t="str">
        <f t="shared" si="73"/>
        <v>Biological and Chemical Phosphorus Removal</v>
      </c>
      <c r="C197" t="str">
        <f t="shared" si="74"/>
        <v>25-06017-001</v>
      </c>
      <c r="D197" s="1">
        <f t="shared" si="75"/>
        <v>0.2</v>
      </c>
      <c r="E197" s="1">
        <f t="shared" si="76"/>
        <v>0</v>
      </c>
      <c r="F197" s="1">
        <f t="shared" si="77"/>
        <v>0.2</v>
      </c>
      <c r="G197" s="1">
        <f t="shared" si="78"/>
        <v>0.2</v>
      </c>
      <c r="H197" s="1">
        <f t="shared" si="79"/>
        <v>0</v>
      </c>
      <c r="I197" s="1">
        <f t="shared" si="80"/>
        <v>0</v>
      </c>
    </row>
    <row r="198" spans="1:9" x14ac:dyDescent="0.25">
      <c r="A198" s="60" t="s">
        <v>79</v>
      </c>
      <c r="B198" t="str">
        <f t="shared" si="73"/>
        <v>State Point Analysis for Secondary Clarifiers</v>
      </c>
      <c r="C198" t="str">
        <f t="shared" si="74"/>
        <v>25-06018-001</v>
      </c>
      <c r="D198" s="1">
        <f t="shared" si="75"/>
        <v>0.15</v>
      </c>
      <c r="E198" s="1">
        <f t="shared" si="76"/>
        <v>0.15</v>
      </c>
      <c r="F198" s="1">
        <f t="shared" si="77"/>
        <v>0.15</v>
      </c>
      <c r="G198" s="1">
        <f t="shared" si="78"/>
        <v>0.15</v>
      </c>
      <c r="H198" s="1">
        <f t="shared" si="79"/>
        <v>0</v>
      </c>
      <c r="I198" s="1">
        <f t="shared" si="80"/>
        <v>0</v>
      </c>
    </row>
    <row r="199" spans="1:9" x14ac:dyDescent="0.25">
      <c r="A199" s="60" t="s">
        <v>81</v>
      </c>
      <c r="B199" t="str">
        <f t="shared" si="73"/>
        <v>Chlorine Disinfection</v>
      </c>
      <c r="C199" t="str">
        <f t="shared" si="74"/>
        <v>25-06020-001</v>
      </c>
      <c r="D199" s="1">
        <f t="shared" si="75"/>
        <v>0.25</v>
      </c>
      <c r="E199" s="1">
        <f t="shared" si="76"/>
        <v>0.25</v>
      </c>
      <c r="F199" s="1">
        <f t="shared" si="77"/>
        <v>0.25</v>
      </c>
      <c r="G199" s="1">
        <f t="shared" si="78"/>
        <v>0.25</v>
      </c>
      <c r="H199" s="1">
        <f t="shared" si="79"/>
        <v>0.25</v>
      </c>
      <c r="I199" s="1">
        <f t="shared" si="80"/>
        <v>0</v>
      </c>
    </row>
    <row r="200" spans="1:9" x14ac:dyDescent="0.25">
      <c r="A200" s="60" t="s">
        <v>84</v>
      </c>
      <c r="B200" t="str">
        <f t="shared" si="73"/>
        <v>Aerobic and Anaerobic Digestion</v>
      </c>
      <c r="C200" t="str">
        <f t="shared" si="74"/>
        <v>25-06023-001</v>
      </c>
      <c r="D200" s="1">
        <f t="shared" si="75"/>
        <v>0.3</v>
      </c>
      <c r="E200" s="1">
        <f t="shared" si="76"/>
        <v>0</v>
      </c>
      <c r="F200" s="1">
        <f t="shared" si="77"/>
        <v>0.3</v>
      </c>
      <c r="G200" s="1">
        <f t="shared" si="78"/>
        <v>0.3</v>
      </c>
      <c r="H200" s="1">
        <f t="shared" si="79"/>
        <v>0</v>
      </c>
      <c r="I200" s="1">
        <f t="shared" si="80"/>
        <v>0</v>
      </c>
    </row>
    <row r="201" spans="1:9" x14ac:dyDescent="0.25">
      <c r="A201" s="60" t="s">
        <v>85</v>
      </c>
      <c r="B201" t="str">
        <f t="shared" si="73"/>
        <v>Belt Filter Presses</v>
      </c>
      <c r="C201" t="str">
        <f t="shared" si="74"/>
        <v>25-06024-001</v>
      </c>
      <c r="D201" s="1">
        <f t="shared" si="75"/>
        <v>0.2</v>
      </c>
      <c r="E201" s="1">
        <f t="shared" si="76"/>
        <v>0.2</v>
      </c>
      <c r="F201" s="1">
        <f t="shared" si="77"/>
        <v>0.2</v>
      </c>
      <c r="G201" s="1">
        <f t="shared" si="78"/>
        <v>0.2</v>
      </c>
      <c r="H201" s="1">
        <f t="shared" si="79"/>
        <v>0</v>
      </c>
      <c r="I201" s="1">
        <f t="shared" si="80"/>
        <v>0</v>
      </c>
    </row>
    <row r="202" spans="1:9" x14ac:dyDescent="0.25">
      <c r="A202" s="60" t="s">
        <v>86</v>
      </c>
      <c r="B202" t="str">
        <f t="shared" si="73"/>
        <v>Centrifuges</v>
      </c>
      <c r="C202" t="str">
        <f t="shared" si="74"/>
        <v>25-06025-001</v>
      </c>
      <c r="D202" s="1">
        <f t="shared" si="75"/>
        <v>0.2</v>
      </c>
      <c r="E202" s="1">
        <f t="shared" si="76"/>
        <v>0.2</v>
      </c>
      <c r="F202" s="1">
        <f t="shared" si="77"/>
        <v>0.2</v>
      </c>
      <c r="G202" s="1">
        <f t="shared" si="78"/>
        <v>0.2</v>
      </c>
      <c r="H202" s="1">
        <f t="shared" si="79"/>
        <v>0</v>
      </c>
      <c r="I202" s="1">
        <f t="shared" si="80"/>
        <v>0</v>
      </c>
    </row>
    <row r="203" spans="1:9" x14ac:dyDescent="0.25">
      <c r="A203" s="60" t="s">
        <v>493</v>
      </c>
      <c r="B203" t="str">
        <f t="shared" si="73"/>
        <v>Odor Control</v>
      </c>
      <c r="C203" t="str">
        <f t="shared" si="74"/>
        <v>25-06026-001</v>
      </c>
      <c r="D203" s="1">
        <f t="shared" si="75"/>
        <v>0.2</v>
      </c>
      <c r="E203" s="1">
        <f t="shared" si="76"/>
        <v>0</v>
      </c>
      <c r="F203" s="1">
        <f t="shared" si="77"/>
        <v>0.2</v>
      </c>
      <c r="G203" s="1">
        <f t="shared" si="78"/>
        <v>0.2</v>
      </c>
      <c r="H203" s="1">
        <f t="shared" si="79"/>
        <v>0</v>
      </c>
      <c r="I203" s="1">
        <f t="shared" si="80"/>
        <v>0.2</v>
      </c>
    </row>
    <row r="204" spans="1:9" x14ac:dyDescent="0.25">
      <c r="A204" s="60" t="s">
        <v>170</v>
      </c>
      <c r="B204" t="str">
        <f t="shared" si="73"/>
        <v>How Did CDPHE Determine My Permit Limits?</v>
      </c>
      <c r="C204" t="str">
        <f t="shared" si="74"/>
        <v>25-06033-001</v>
      </c>
      <c r="D204" s="1">
        <f t="shared" si="75"/>
        <v>0.2</v>
      </c>
      <c r="E204" s="1">
        <f t="shared" si="76"/>
        <v>0.2</v>
      </c>
      <c r="F204" s="1">
        <f t="shared" si="77"/>
        <v>0.2</v>
      </c>
      <c r="G204" s="1">
        <f t="shared" si="78"/>
        <v>0.2</v>
      </c>
      <c r="H204" s="1">
        <f t="shared" si="79"/>
        <v>0</v>
      </c>
      <c r="I204" s="1">
        <f t="shared" si="80"/>
        <v>0</v>
      </c>
    </row>
    <row r="205" spans="1:9" x14ac:dyDescent="0.25">
      <c r="A205" s="60" t="s">
        <v>742</v>
      </c>
      <c r="B205" t="str">
        <f t="shared" si="73"/>
        <v>MRT for Wastewater Treatment and Collection Systems</v>
      </c>
      <c r="C205" t="str">
        <f t="shared" si="74"/>
        <v>25-06840-002</v>
      </c>
      <c r="D205" s="1">
        <f t="shared" si="75"/>
        <v>0.25</v>
      </c>
      <c r="E205" s="1">
        <f t="shared" si="76"/>
        <v>0</v>
      </c>
      <c r="F205" s="1">
        <f t="shared" si="77"/>
        <v>0.25</v>
      </c>
      <c r="G205" s="1">
        <f t="shared" si="78"/>
        <v>0.25</v>
      </c>
      <c r="H205" s="1">
        <f t="shared" si="79"/>
        <v>0</v>
      </c>
      <c r="I205" s="1">
        <f t="shared" si="80"/>
        <v>0.25</v>
      </c>
    </row>
    <row r="206" spans="1:9" x14ac:dyDescent="0.25">
      <c r="A206" s="60" t="s">
        <v>1930</v>
      </c>
      <c r="B206" t="str">
        <f t="shared" si="73"/>
        <v>Gravity and Dissolved Air Floatation Thickeners</v>
      </c>
      <c r="C206" t="str">
        <f t="shared" si="74"/>
        <v>25-10671-001</v>
      </c>
      <c r="D206" s="1">
        <f t="shared" si="75"/>
        <v>0.2</v>
      </c>
      <c r="E206" s="1">
        <f t="shared" si="76"/>
        <v>0</v>
      </c>
      <c r="F206" s="1">
        <f t="shared" si="77"/>
        <v>0.2</v>
      </c>
      <c r="G206" s="1">
        <f t="shared" si="78"/>
        <v>0.2</v>
      </c>
      <c r="H206" s="1">
        <f t="shared" si="79"/>
        <v>0</v>
      </c>
      <c r="I206" s="1">
        <f t="shared" si="80"/>
        <v>0</v>
      </c>
    </row>
    <row r="207" spans="1:9" x14ac:dyDescent="0.25">
      <c r="A207" t="s">
        <v>287</v>
      </c>
      <c r="D207" s="1">
        <f>SUM(Table391012182126[Max])</f>
        <v>3.0500000000000003</v>
      </c>
      <c r="E207" s="1">
        <f>SUM(Table391012182126[W])</f>
        <v>1.45</v>
      </c>
      <c r="F207" s="1">
        <f>SUM(Table391012182126[WW])</f>
        <v>3.0500000000000003</v>
      </c>
      <c r="G207" s="1">
        <f>SUM(Table391012182126[I])</f>
        <v>3.0500000000000003</v>
      </c>
      <c r="H207" s="1">
        <f>SUM(Table391012182126[D])</f>
        <v>0.25</v>
      </c>
      <c r="I207" s="1">
        <f>SUM(Table391012182126[C])</f>
        <v>0.65</v>
      </c>
    </row>
    <row r="209" spans="1:9" x14ac:dyDescent="0.25">
      <c r="A209" s="6" t="s">
        <v>2308</v>
      </c>
      <c r="I209" s="61">
        <f>(D220)*10*20*0.9</f>
        <v>269.99999999999994</v>
      </c>
    </row>
    <row r="210" spans="1:9" x14ac:dyDescent="0.25">
      <c r="A210" t="s">
        <v>1956</v>
      </c>
      <c r="B210" t="s">
        <v>249</v>
      </c>
      <c r="C210" t="s">
        <v>1958</v>
      </c>
      <c r="D210" s="1" t="s">
        <v>1284</v>
      </c>
      <c r="E210" s="1" t="s">
        <v>22</v>
      </c>
      <c r="F210" s="1" t="s">
        <v>23</v>
      </c>
      <c r="G210" s="1" t="s">
        <v>26</v>
      </c>
      <c r="H210" s="1" t="s">
        <v>25</v>
      </c>
      <c r="I210" s="1" t="s">
        <v>24</v>
      </c>
    </row>
    <row r="211" spans="1:9" x14ac:dyDescent="0.25">
      <c r="A211" s="60" t="s">
        <v>55</v>
      </c>
      <c r="B211" t="str">
        <f t="shared" ref="B211:B219" si="81">LOOKUP($A211,$X:$X,Y:Y)</f>
        <v>Aeration Systems</v>
      </c>
      <c r="C211" t="str">
        <f t="shared" ref="C211:C219" si="82">LOOKUP($A211,$X:$X,Z:Z)</f>
        <v>25-09505-001</v>
      </c>
      <c r="D211" s="1">
        <f t="shared" ref="D211:D219" si="83">LOOKUP($A211,$X:$X,AA:AA)</f>
        <v>0.15</v>
      </c>
      <c r="E211" s="1">
        <f t="shared" ref="E211:E219" si="84">LOOKUP($A211,$X:$X,AB:AB)</f>
        <v>0.15</v>
      </c>
      <c r="F211" s="1">
        <f t="shared" ref="F211:F219" si="85">LOOKUP($A211,$X:$X,AC:AC)</f>
        <v>0.15</v>
      </c>
      <c r="G211" s="1">
        <f t="shared" ref="G211:G219" si="86">LOOKUP($A211,$X:$X,AD:AD)</f>
        <v>0.15</v>
      </c>
      <c r="H211" s="1">
        <f t="shared" ref="H211:H219" si="87">LOOKUP($A211,$X:$X,AE:AE)</f>
        <v>0</v>
      </c>
      <c r="I211" s="1">
        <f t="shared" ref="I211:I219" si="88">LOOKUP($A211,$X:$X,AF:AF)</f>
        <v>0</v>
      </c>
    </row>
    <row r="212" spans="1:9" x14ac:dyDescent="0.25">
      <c r="A212" s="60" t="s">
        <v>67</v>
      </c>
      <c r="B212" t="str">
        <f t="shared" si="81"/>
        <v>Biological Treatment Basics</v>
      </c>
      <c r="C212" t="str">
        <f t="shared" si="82"/>
        <v>25-07222-001</v>
      </c>
      <c r="D212" s="1">
        <f t="shared" si="83"/>
        <v>0.15</v>
      </c>
      <c r="E212" s="1">
        <f t="shared" si="84"/>
        <v>0</v>
      </c>
      <c r="F212" s="1">
        <f t="shared" si="85"/>
        <v>0.15</v>
      </c>
      <c r="G212" s="1">
        <f t="shared" si="86"/>
        <v>0.15</v>
      </c>
      <c r="H212" s="1">
        <f t="shared" si="87"/>
        <v>0</v>
      </c>
      <c r="I212" s="1">
        <f t="shared" si="88"/>
        <v>0</v>
      </c>
    </row>
    <row r="213" spans="1:9" x14ac:dyDescent="0.25">
      <c r="A213" s="60" t="s">
        <v>73</v>
      </c>
      <c r="B213" t="str">
        <f t="shared" si="81"/>
        <v>Top 10 Questions for Activated Sludge Process Control</v>
      </c>
      <c r="C213" t="str">
        <f t="shared" si="82"/>
        <v>25-07727-001</v>
      </c>
      <c r="D213" s="1">
        <f t="shared" si="83"/>
        <v>0.25</v>
      </c>
      <c r="E213" s="1">
        <f t="shared" si="84"/>
        <v>0</v>
      </c>
      <c r="F213" s="1">
        <f t="shared" si="85"/>
        <v>0.25</v>
      </c>
      <c r="G213" s="1">
        <f t="shared" si="86"/>
        <v>0.25</v>
      </c>
      <c r="H213" s="1">
        <f t="shared" si="87"/>
        <v>0</v>
      </c>
      <c r="I213" s="1">
        <f t="shared" si="88"/>
        <v>0</v>
      </c>
    </row>
    <row r="214" spans="1:9" x14ac:dyDescent="0.25">
      <c r="A214" s="60" t="s">
        <v>939</v>
      </c>
      <c r="B214" t="str">
        <f t="shared" si="81"/>
        <v>Activated Sludge Microbiology: A View Beneath the Surface</v>
      </c>
      <c r="C214" t="str">
        <f t="shared" si="82"/>
        <v>25-08900-001</v>
      </c>
      <c r="D214" s="1">
        <f t="shared" si="83"/>
        <v>0.1</v>
      </c>
      <c r="E214" s="1">
        <f t="shared" si="84"/>
        <v>0</v>
      </c>
      <c r="F214" s="1">
        <f t="shared" si="85"/>
        <v>0.1</v>
      </c>
      <c r="G214" s="1">
        <f t="shared" si="86"/>
        <v>0.1</v>
      </c>
      <c r="H214" s="1">
        <f t="shared" si="87"/>
        <v>0</v>
      </c>
      <c r="I214" s="1">
        <f t="shared" si="88"/>
        <v>0</v>
      </c>
    </row>
    <row r="215" spans="1:9" x14ac:dyDescent="0.25">
      <c r="A215" s="60" t="s">
        <v>940</v>
      </c>
      <c r="B215" t="str">
        <f t="shared" si="81"/>
        <v>Activated Sludge Microbiology: Microscope Basics and the Micro Exam</v>
      </c>
      <c r="C215" t="str">
        <f t="shared" si="82"/>
        <v>25-08901-001</v>
      </c>
      <c r="D215" s="1">
        <f t="shared" si="83"/>
        <v>0.1</v>
      </c>
      <c r="E215" s="1">
        <f t="shared" si="84"/>
        <v>0</v>
      </c>
      <c r="F215" s="1">
        <f t="shared" si="85"/>
        <v>0.1</v>
      </c>
      <c r="G215" s="1">
        <f t="shared" si="86"/>
        <v>0.1</v>
      </c>
      <c r="H215" s="1">
        <f t="shared" si="87"/>
        <v>0</v>
      </c>
      <c r="I215" s="1">
        <f t="shared" si="88"/>
        <v>0</v>
      </c>
    </row>
    <row r="216" spans="1:9" x14ac:dyDescent="0.25">
      <c r="A216" s="60" t="s">
        <v>74</v>
      </c>
      <c r="B216" t="str">
        <f t="shared" si="81"/>
        <v>Activated Sludge Microbiology: Filaments and Settling Problems</v>
      </c>
      <c r="C216" t="str">
        <f t="shared" si="82"/>
        <v>25-08902-001</v>
      </c>
      <c r="D216" s="1">
        <f t="shared" si="83"/>
        <v>0.1</v>
      </c>
      <c r="E216" s="1">
        <f t="shared" si="84"/>
        <v>0</v>
      </c>
      <c r="F216" s="1">
        <f t="shared" si="85"/>
        <v>0.1</v>
      </c>
      <c r="G216" s="1">
        <f t="shared" si="86"/>
        <v>0.1</v>
      </c>
      <c r="H216" s="1">
        <f t="shared" si="87"/>
        <v>0</v>
      </c>
      <c r="I216" s="1">
        <f t="shared" si="88"/>
        <v>0</v>
      </c>
    </row>
    <row r="217" spans="1:9" x14ac:dyDescent="0.25">
      <c r="A217" s="60" t="s">
        <v>77</v>
      </c>
      <c r="B217" t="str">
        <f t="shared" si="81"/>
        <v>Nitrification and Denitrification</v>
      </c>
      <c r="C217" t="str">
        <f t="shared" si="82"/>
        <v>25-06016-001</v>
      </c>
      <c r="D217" s="1">
        <f t="shared" si="83"/>
        <v>0.3</v>
      </c>
      <c r="E217" s="1">
        <f t="shared" si="84"/>
        <v>0.3</v>
      </c>
      <c r="F217" s="1">
        <f t="shared" si="85"/>
        <v>0.3</v>
      </c>
      <c r="G217" s="1">
        <f t="shared" si="86"/>
        <v>0.3</v>
      </c>
      <c r="H217" s="1">
        <f t="shared" si="87"/>
        <v>0</v>
      </c>
      <c r="I217" s="1">
        <f t="shared" si="88"/>
        <v>0</v>
      </c>
    </row>
    <row r="218" spans="1:9" x14ac:dyDescent="0.25">
      <c r="A218" s="60" t="s">
        <v>78</v>
      </c>
      <c r="B218" t="str">
        <f t="shared" si="81"/>
        <v>Biological and Chemical Phosphorus Removal</v>
      </c>
      <c r="C218" t="str">
        <f t="shared" si="82"/>
        <v>25-06017-001</v>
      </c>
      <c r="D218" s="1">
        <f t="shared" si="83"/>
        <v>0.2</v>
      </c>
      <c r="E218" s="1">
        <f t="shared" si="84"/>
        <v>0</v>
      </c>
      <c r="F218" s="1">
        <f t="shared" si="85"/>
        <v>0.2</v>
      </c>
      <c r="G218" s="1">
        <f t="shared" si="86"/>
        <v>0.2</v>
      </c>
      <c r="H218" s="1">
        <f t="shared" si="87"/>
        <v>0</v>
      </c>
      <c r="I218" s="1">
        <f t="shared" si="88"/>
        <v>0</v>
      </c>
    </row>
    <row r="219" spans="1:9" x14ac:dyDescent="0.25">
      <c r="A219" s="60" t="s">
        <v>79</v>
      </c>
      <c r="B219" t="str">
        <f t="shared" si="81"/>
        <v>State Point Analysis for Secondary Clarifiers</v>
      </c>
      <c r="C219" t="str">
        <f t="shared" si="82"/>
        <v>25-06018-001</v>
      </c>
      <c r="D219" s="1">
        <f t="shared" si="83"/>
        <v>0.15</v>
      </c>
      <c r="E219" s="1">
        <f t="shared" si="84"/>
        <v>0.15</v>
      </c>
      <c r="F219" s="1">
        <f t="shared" si="85"/>
        <v>0.15</v>
      </c>
      <c r="G219" s="1">
        <f t="shared" si="86"/>
        <v>0.15</v>
      </c>
      <c r="H219" s="1">
        <f t="shared" si="87"/>
        <v>0</v>
      </c>
      <c r="I219" s="1">
        <f t="shared" si="88"/>
        <v>0</v>
      </c>
    </row>
    <row r="220" spans="1:9" x14ac:dyDescent="0.25">
      <c r="A220" t="s">
        <v>287</v>
      </c>
      <c r="D220" s="1">
        <f>SUM(Table39101218212628[Max])</f>
        <v>1.4999999999999998</v>
      </c>
      <c r="E220" s="1">
        <f>SUM(Table39101218212628[W])</f>
        <v>0.6</v>
      </c>
      <c r="F220" s="1">
        <f>SUM(Table39101218212628[WW])</f>
        <v>1.4999999999999998</v>
      </c>
      <c r="G220" s="1">
        <f>SUM(Table39101218212628[I])</f>
        <v>1.4999999999999998</v>
      </c>
      <c r="H220" s="1">
        <f>SUM(Table39101218212628[D])</f>
        <v>0</v>
      </c>
      <c r="I220" s="1">
        <f>SUM(Table39101218212628[C])</f>
        <v>0</v>
      </c>
    </row>
    <row r="222" spans="1:9" x14ac:dyDescent="0.25">
      <c r="A222" s="6" t="s">
        <v>2309</v>
      </c>
      <c r="I222" s="61">
        <f>(D230)*10*20*0.9</f>
        <v>224.99999999999997</v>
      </c>
    </row>
    <row r="223" spans="1:9" x14ac:dyDescent="0.25">
      <c r="A223" t="s">
        <v>1956</v>
      </c>
      <c r="B223" t="s">
        <v>249</v>
      </c>
      <c r="C223" t="s">
        <v>1958</v>
      </c>
      <c r="D223" s="1" t="s">
        <v>1284</v>
      </c>
      <c r="E223" s="1" t="s">
        <v>22</v>
      </c>
      <c r="F223" s="1" t="s">
        <v>23</v>
      </c>
      <c r="G223" s="1" t="s">
        <v>26</v>
      </c>
      <c r="H223" s="1" t="s">
        <v>25</v>
      </c>
      <c r="I223" s="1" t="s">
        <v>24</v>
      </c>
    </row>
    <row r="224" spans="1:9" x14ac:dyDescent="0.25">
      <c r="A224" s="60" t="s">
        <v>83</v>
      </c>
      <c r="B224" t="str">
        <f t="shared" ref="B224:I229" si="89">LOOKUP($A224,$X:$X,Y:Y)</f>
        <v>Introduction to Solids Handling and 503 Regulations</v>
      </c>
      <c r="C224" t="str">
        <f t="shared" si="89"/>
        <v>25-06022-002</v>
      </c>
      <c r="D224" s="1">
        <f t="shared" si="89"/>
        <v>0.15</v>
      </c>
      <c r="E224" s="1">
        <f t="shared" si="89"/>
        <v>0</v>
      </c>
      <c r="F224" s="1">
        <f t="shared" si="89"/>
        <v>0.15</v>
      </c>
      <c r="G224" s="1">
        <f t="shared" si="89"/>
        <v>0</v>
      </c>
      <c r="H224" s="1">
        <f t="shared" si="89"/>
        <v>0</v>
      </c>
      <c r="I224" s="1">
        <f t="shared" si="89"/>
        <v>0</v>
      </c>
    </row>
    <row r="225" spans="1:9" x14ac:dyDescent="0.25">
      <c r="A225" s="60" t="s">
        <v>84</v>
      </c>
      <c r="B225" t="str">
        <f t="shared" si="89"/>
        <v>Aerobic and Anaerobic Digestion</v>
      </c>
      <c r="C225" t="str">
        <f t="shared" si="89"/>
        <v>25-06023-001</v>
      </c>
      <c r="D225" s="1">
        <f t="shared" si="89"/>
        <v>0.3</v>
      </c>
      <c r="E225" s="1">
        <f t="shared" si="89"/>
        <v>0</v>
      </c>
      <c r="F225" s="1">
        <f t="shared" si="89"/>
        <v>0.3</v>
      </c>
      <c r="G225" s="1">
        <f t="shared" si="89"/>
        <v>0.3</v>
      </c>
      <c r="H225" s="1">
        <f t="shared" si="89"/>
        <v>0</v>
      </c>
      <c r="I225" s="1">
        <f t="shared" si="89"/>
        <v>0</v>
      </c>
    </row>
    <row r="226" spans="1:9" x14ac:dyDescent="0.25">
      <c r="A226" s="60" t="s">
        <v>85</v>
      </c>
      <c r="B226" t="str">
        <f t="shared" si="89"/>
        <v>Belt Filter Presses</v>
      </c>
      <c r="C226" t="str">
        <f t="shared" si="89"/>
        <v>25-06024-001</v>
      </c>
      <c r="D226" s="1">
        <f t="shared" si="89"/>
        <v>0.2</v>
      </c>
      <c r="E226" s="1">
        <f t="shared" si="89"/>
        <v>0.2</v>
      </c>
      <c r="F226" s="1">
        <f t="shared" si="89"/>
        <v>0.2</v>
      </c>
      <c r="G226" s="1">
        <f t="shared" si="89"/>
        <v>0.2</v>
      </c>
      <c r="H226" s="1">
        <f t="shared" si="89"/>
        <v>0</v>
      </c>
      <c r="I226" s="1">
        <f t="shared" si="89"/>
        <v>0</v>
      </c>
    </row>
    <row r="227" spans="1:9" x14ac:dyDescent="0.25">
      <c r="A227" s="60" t="s">
        <v>86</v>
      </c>
      <c r="B227" t="str">
        <f t="shared" si="89"/>
        <v>Centrifuges</v>
      </c>
      <c r="C227" t="str">
        <f t="shared" si="89"/>
        <v>25-06025-001</v>
      </c>
      <c r="D227" s="1">
        <f t="shared" si="89"/>
        <v>0.2</v>
      </c>
      <c r="E227" s="1">
        <f t="shared" si="89"/>
        <v>0.2</v>
      </c>
      <c r="F227" s="1">
        <f t="shared" si="89"/>
        <v>0.2</v>
      </c>
      <c r="G227" s="1">
        <f t="shared" si="89"/>
        <v>0.2</v>
      </c>
      <c r="H227" s="1">
        <f t="shared" si="89"/>
        <v>0</v>
      </c>
      <c r="I227" s="1">
        <f t="shared" si="89"/>
        <v>0</v>
      </c>
    </row>
    <row r="228" spans="1:9" x14ac:dyDescent="0.25">
      <c r="A228" s="60" t="str">
        <f>X88</f>
        <v>WWT-026</v>
      </c>
      <c r="B228" t="str">
        <f t="shared" si="89"/>
        <v>Odor Control</v>
      </c>
      <c r="C228" t="str">
        <f t="shared" si="89"/>
        <v>25-06026-001</v>
      </c>
      <c r="D228" s="1">
        <f t="shared" si="89"/>
        <v>0.2</v>
      </c>
      <c r="E228" s="1">
        <f t="shared" si="89"/>
        <v>0</v>
      </c>
      <c r="F228" s="1">
        <f t="shared" si="89"/>
        <v>0.2</v>
      </c>
      <c r="G228" s="1">
        <f t="shared" si="89"/>
        <v>0.2</v>
      </c>
      <c r="H228" s="1">
        <f t="shared" si="89"/>
        <v>0</v>
      </c>
      <c r="I228" s="1">
        <f t="shared" si="89"/>
        <v>0.2</v>
      </c>
    </row>
    <row r="229" spans="1:9" x14ac:dyDescent="0.25">
      <c r="A229" s="60" t="s">
        <v>1930</v>
      </c>
      <c r="B229" t="str">
        <f t="shared" si="89"/>
        <v>Gravity and Dissolved Air Floatation Thickeners</v>
      </c>
      <c r="C229" t="str">
        <f t="shared" si="89"/>
        <v>25-10671-001</v>
      </c>
      <c r="D229" s="1">
        <f t="shared" si="89"/>
        <v>0.2</v>
      </c>
      <c r="E229" s="1">
        <f t="shared" si="89"/>
        <v>0</v>
      </c>
      <c r="F229" s="1">
        <f t="shared" si="89"/>
        <v>0.2</v>
      </c>
      <c r="G229" s="1">
        <f t="shared" si="89"/>
        <v>0.2</v>
      </c>
      <c r="H229" s="1">
        <f t="shared" si="89"/>
        <v>0</v>
      </c>
      <c r="I229" s="1">
        <f t="shared" si="89"/>
        <v>0</v>
      </c>
    </row>
    <row r="230" spans="1:9" x14ac:dyDescent="0.25">
      <c r="A230" t="s">
        <v>287</v>
      </c>
      <c r="D230" s="1">
        <f>SUM(Table3910121821262829[Max])</f>
        <v>1.2499999999999998</v>
      </c>
      <c r="E230" s="1">
        <f>SUM(Table3910121821262829[W])</f>
        <v>0.4</v>
      </c>
      <c r="F230" s="1">
        <f>SUM(Table3910121821262829[WW])</f>
        <v>1.2499999999999998</v>
      </c>
      <c r="G230" s="1">
        <f>SUM(Table3910121821262829[I])</f>
        <v>1.0999999999999999</v>
      </c>
      <c r="H230" s="1">
        <f>SUM(Table3910121821262829[D])</f>
        <v>0</v>
      </c>
      <c r="I230" s="1">
        <f>SUM(Table3910121821262829[C])</f>
        <v>0.2</v>
      </c>
    </row>
    <row r="232" spans="1:9" x14ac:dyDescent="0.25">
      <c r="A232" s="6" t="s">
        <v>2310</v>
      </c>
      <c r="I232" s="61">
        <f>(D240-0.25)*10*20*0.9</f>
        <v>189</v>
      </c>
    </row>
    <row r="233" spans="1:9" x14ac:dyDescent="0.25">
      <c r="A233" t="s">
        <v>1956</v>
      </c>
      <c r="B233" t="s">
        <v>249</v>
      </c>
      <c r="C233" t="s">
        <v>1958</v>
      </c>
      <c r="D233" s="1" t="s">
        <v>1284</v>
      </c>
      <c r="E233" s="1" t="s">
        <v>22</v>
      </c>
      <c r="F233" s="1" t="s">
        <v>23</v>
      </c>
      <c r="G233" s="1" t="s">
        <v>26</v>
      </c>
      <c r="H233" s="1" t="s">
        <v>25</v>
      </c>
      <c r="I233" s="1" t="s">
        <v>24</v>
      </c>
    </row>
    <row r="234" spans="1:9" x14ac:dyDescent="0.25">
      <c r="A234" s="60" t="s">
        <v>52</v>
      </c>
      <c r="B234" t="str">
        <f t="shared" ref="B234:I239" si="90">LOOKUP($A234,$X:$X,Y:Y)</f>
        <v>Pumps</v>
      </c>
      <c r="C234" t="str">
        <f t="shared" si="90"/>
        <v>25-06046-002</v>
      </c>
      <c r="D234" s="1">
        <f t="shared" si="90"/>
        <v>0.2</v>
      </c>
      <c r="E234" s="1">
        <f t="shared" si="90"/>
        <v>0.2</v>
      </c>
      <c r="F234" s="1">
        <f t="shared" si="90"/>
        <v>0.2</v>
      </c>
      <c r="G234" s="1">
        <f t="shared" si="90"/>
        <v>0.2</v>
      </c>
      <c r="H234" s="1">
        <f t="shared" si="90"/>
        <v>0.2</v>
      </c>
      <c r="I234" s="1">
        <f t="shared" si="90"/>
        <v>0.2</v>
      </c>
    </row>
    <row r="235" spans="1:9" x14ac:dyDescent="0.25">
      <c r="A235" s="60" t="s">
        <v>57</v>
      </c>
      <c r="B235" t="str">
        <f t="shared" si="90"/>
        <v>Introduction to Collections Systems</v>
      </c>
      <c r="C235" t="str">
        <f t="shared" si="90"/>
        <v>25-06000-002</v>
      </c>
      <c r="D235" s="1">
        <f t="shared" si="90"/>
        <v>0.15</v>
      </c>
      <c r="E235" s="1">
        <f t="shared" si="90"/>
        <v>0</v>
      </c>
      <c r="F235" s="1">
        <f t="shared" si="90"/>
        <v>0</v>
      </c>
      <c r="G235" s="1">
        <f t="shared" si="90"/>
        <v>0</v>
      </c>
      <c r="H235" s="1">
        <f t="shared" si="90"/>
        <v>0</v>
      </c>
      <c r="I235" s="1">
        <f t="shared" si="90"/>
        <v>0.15</v>
      </c>
    </row>
    <row r="236" spans="1:9" x14ac:dyDescent="0.25">
      <c r="A236" s="60" t="s">
        <v>58</v>
      </c>
      <c r="B236" t="str">
        <f t="shared" si="90"/>
        <v>Collection System Inspection, Testing, and Cleaning - Part 1</v>
      </c>
      <c r="C236" t="str">
        <f t="shared" si="90"/>
        <v>25-06001-002</v>
      </c>
      <c r="D236" s="1">
        <f t="shared" si="90"/>
        <v>0.25</v>
      </c>
      <c r="E236" s="1">
        <f t="shared" si="90"/>
        <v>0</v>
      </c>
      <c r="F236" s="1">
        <f t="shared" si="90"/>
        <v>0</v>
      </c>
      <c r="G236" s="1">
        <f t="shared" si="90"/>
        <v>0</v>
      </c>
      <c r="H236" s="1">
        <f t="shared" si="90"/>
        <v>0</v>
      </c>
      <c r="I236" s="1">
        <f t="shared" si="90"/>
        <v>0.25</v>
      </c>
    </row>
    <row r="237" spans="1:9" x14ac:dyDescent="0.25">
      <c r="A237" s="60" t="s">
        <v>59</v>
      </c>
      <c r="B237" t="str">
        <f t="shared" si="90"/>
        <v>Collection System Inspection, Testing, and Cleaning - Part 2</v>
      </c>
      <c r="C237" t="str">
        <f t="shared" si="90"/>
        <v>25-06002-002</v>
      </c>
      <c r="D237" s="1">
        <f t="shared" si="90"/>
        <v>0.25</v>
      </c>
      <c r="E237" s="1">
        <f t="shared" si="90"/>
        <v>0</v>
      </c>
      <c r="F237" s="1">
        <f t="shared" si="90"/>
        <v>0</v>
      </c>
      <c r="G237" s="1">
        <f t="shared" si="90"/>
        <v>0</v>
      </c>
      <c r="H237" s="1">
        <f t="shared" si="90"/>
        <v>0</v>
      </c>
      <c r="I237" s="1">
        <f t="shared" si="90"/>
        <v>0.25</v>
      </c>
    </row>
    <row r="238" spans="1:9" x14ac:dyDescent="0.25">
      <c r="A238" s="60" t="s">
        <v>60</v>
      </c>
      <c r="B238" t="str">
        <f t="shared" si="90"/>
        <v>Lift Stations</v>
      </c>
      <c r="C238" t="str">
        <f t="shared" si="90"/>
        <v>25-06003-001</v>
      </c>
      <c r="D238" s="1">
        <f t="shared" si="90"/>
        <v>0.2</v>
      </c>
      <c r="E238" s="1">
        <f t="shared" si="90"/>
        <v>0</v>
      </c>
      <c r="F238" s="1">
        <f t="shared" si="90"/>
        <v>0.2</v>
      </c>
      <c r="G238" s="1">
        <f t="shared" si="90"/>
        <v>0.2</v>
      </c>
      <c r="H238" s="1">
        <f t="shared" si="90"/>
        <v>0</v>
      </c>
      <c r="I238" s="1">
        <f t="shared" si="90"/>
        <v>0.2</v>
      </c>
    </row>
    <row r="239" spans="1:9" x14ac:dyDescent="0.25">
      <c r="A239" s="60" t="s">
        <v>742</v>
      </c>
      <c r="B239" t="str">
        <f t="shared" si="90"/>
        <v>MRT for Wastewater Treatment and Collection Systems</v>
      </c>
      <c r="C239" t="str">
        <f t="shared" si="90"/>
        <v>25-06840-002</v>
      </c>
      <c r="D239" s="1">
        <f t="shared" si="90"/>
        <v>0.25</v>
      </c>
      <c r="E239" s="1">
        <f t="shared" si="90"/>
        <v>0</v>
      </c>
      <c r="F239" s="1">
        <f t="shared" si="90"/>
        <v>0.25</v>
      </c>
      <c r="G239" s="1">
        <f t="shared" si="90"/>
        <v>0.25</v>
      </c>
      <c r="H239" s="1">
        <f t="shared" si="90"/>
        <v>0</v>
      </c>
      <c r="I239" s="1">
        <f t="shared" si="90"/>
        <v>0.25</v>
      </c>
    </row>
    <row r="240" spans="1:9" x14ac:dyDescent="0.25">
      <c r="A240" t="s">
        <v>287</v>
      </c>
      <c r="D240" s="1">
        <f>SUM(Table39101218212631[Max])</f>
        <v>1.3</v>
      </c>
      <c r="E240" s="1">
        <f>SUM(Table39101218212631[W])</f>
        <v>0.2</v>
      </c>
      <c r="F240" s="1">
        <f>SUM(Table39101218212631[WW])</f>
        <v>0.65</v>
      </c>
      <c r="G240" s="1">
        <f>SUM(Table39101218212631[I])</f>
        <v>0.65</v>
      </c>
      <c r="H240" s="1">
        <f>SUM(Table39101218212631[D])</f>
        <v>0.2</v>
      </c>
      <c r="I240" s="1">
        <f>SUM(Table39101218212631[C])</f>
        <v>1.3</v>
      </c>
    </row>
    <row r="242" spans="1:10" x14ac:dyDescent="0.25">
      <c r="A242" s="6" t="s">
        <v>2311</v>
      </c>
      <c r="I242" s="61">
        <f>(D255-0.25)*10*20*0.9</f>
        <v>297</v>
      </c>
    </row>
    <row r="243" spans="1:10" x14ac:dyDescent="0.25">
      <c r="A243" t="s">
        <v>1956</v>
      </c>
      <c r="B243" t="s">
        <v>249</v>
      </c>
      <c r="C243" t="s">
        <v>1958</v>
      </c>
      <c r="D243" s="1" t="s">
        <v>1284</v>
      </c>
      <c r="E243" s="1" t="s">
        <v>22</v>
      </c>
      <c r="F243" s="1" t="s">
        <v>23</v>
      </c>
      <c r="G243" s="1" t="s">
        <v>26</v>
      </c>
      <c r="H243" s="1" t="s">
        <v>25</v>
      </c>
      <c r="I243" s="1" t="s">
        <v>24</v>
      </c>
      <c r="J243" s="25"/>
    </row>
    <row r="244" spans="1:10" x14ac:dyDescent="0.25">
      <c r="A244" s="60" t="s">
        <v>52</v>
      </c>
      <c r="B244" t="str">
        <f t="shared" ref="B244:B254" si="91">LOOKUP($A244,$X:$X,Y:Y)</f>
        <v>Pumps</v>
      </c>
      <c r="C244" t="str">
        <f t="shared" ref="C244:C254" si="92">LOOKUP($A244,$X:$X,Z:Z)</f>
        <v>25-06046-002</v>
      </c>
      <c r="D244" s="1">
        <f t="shared" ref="D244:D254" si="93">LOOKUP($A244,$X:$X,AA:AA)</f>
        <v>0.2</v>
      </c>
      <c r="E244" s="1">
        <f t="shared" ref="E244:E254" si="94">LOOKUP($A244,$X:$X,AB:AB)</f>
        <v>0.2</v>
      </c>
      <c r="F244" s="1">
        <f t="shared" ref="F244:F254" si="95">LOOKUP($A244,$X:$X,AC:AC)</f>
        <v>0.2</v>
      </c>
      <c r="G244" s="1">
        <f t="shared" ref="G244:G254" si="96">LOOKUP($A244,$X:$X,AD:AD)</f>
        <v>0.2</v>
      </c>
      <c r="H244" s="1">
        <f t="shared" ref="H244:H254" si="97">LOOKUP($A244,$X:$X,AE:AE)</f>
        <v>0.2</v>
      </c>
      <c r="I244" s="1">
        <f t="shared" ref="I244:I254" si="98">LOOKUP($A244,$X:$X,AF:AF)</f>
        <v>0.2</v>
      </c>
    </row>
    <row r="245" spans="1:10" x14ac:dyDescent="0.25">
      <c r="A245" s="60" t="s">
        <v>107</v>
      </c>
      <c r="B245" t="str">
        <f t="shared" si="91"/>
        <v>Electrical Fundamentals</v>
      </c>
      <c r="C245" t="str">
        <f t="shared" si="92"/>
        <v>25-05994-001</v>
      </c>
      <c r="D245" s="1">
        <f t="shared" si="93"/>
        <v>0.15</v>
      </c>
      <c r="E245" s="1">
        <f t="shared" si="94"/>
        <v>0.15</v>
      </c>
      <c r="F245" s="1">
        <f t="shared" si="95"/>
        <v>0.15</v>
      </c>
      <c r="G245" s="1">
        <f t="shared" si="96"/>
        <v>0.15</v>
      </c>
      <c r="H245" s="1">
        <f t="shared" si="97"/>
        <v>0.15</v>
      </c>
      <c r="I245" s="1">
        <f t="shared" si="98"/>
        <v>0.15</v>
      </c>
    </row>
    <row r="246" spans="1:10" x14ac:dyDescent="0.25">
      <c r="A246" s="60" t="s">
        <v>1056</v>
      </c>
      <c r="B246" t="str">
        <f t="shared" si="91"/>
        <v>Backflow Preventers</v>
      </c>
      <c r="C246" t="str">
        <f t="shared" si="92"/>
        <v>25-08959-001</v>
      </c>
      <c r="D246" s="1">
        <f t="shared" si="93"/>
        <v>0.05</v>
      </c>
      <c r="E246" s="1">
        <f t="shared" si="94"/>
        <v>0.05</v>
      </c>
      <c r="F246" s="1">
        <f t="shared" si="95"/>
        <v>0.05</v>
      </c>
      <c r="G246" s="1">
        <f t="shared" si="96"/>
        <v>0.05</v>
      </c>
      <c r="H246" s="1">
        <f t="shared" si="97"/>
        <v>0.05</v>
      </c>
      <c r="I246" s="1">
        <f t="shared" si="98"/>
        <v>0.05</v>
      </c>
    </row>
    <row r="247" spans="1:10" x14ac:dyDescent="0.25">
      <c r="A247" s="60" t="s">
        <v>57</v>
      </c>
      <c r="B247" t="str">
        <f t="shared" si="91"/>
        <v>Introduction to Collections Systems</v>
      </c>
      <c r="C247" t="str">
        <f t="shared" si="92"/>
        <v>25-06000-002</v>
      </c>
      <c r="D247" s="1">
        <f t="shared" si="93"/>
        <v>0.15</v>
      </c>
      <c r="E247" s="1">
        <f t="shared" si="94"/>
        <v>0</v>
      </c>
      <c r="F247" s="1">
        <f t="shared" si="95"/>
        <v>0</v>
      </c>
      <c r="G247" s="1">
        <f t="shared" si="96"/>
        <v>0</v>
      </c>
      <c r="H247" s="1">
        <f t="shared" si="97"/>
        <v>0</v>
      </c>
      <c r="I247" s="1">
        <f t="shared" si="98"/>
        <v>0.15</v>
      </c>
    </row>
    <row r="248" spans="1:10" x14ac:dyDescent="0.25">
      <c r="A248" s="60" t="s">
        <v>58</v>
      </c>
      <c r="B248" t="str">
        <f t="shared" si="91"/>
        <v>Collection System Inspection, Testing, and Cleaning - Part 1</v>
      </c>
      <c r="C248" t="str">
        <f t="shared" si="92"/>
        <v>25-06001-002</v>
      </c>
      <c r="D248" s="1">
        <f t="shared" si="93"/>
        <v>0.25</v>
      </c>
      <c r="E248" s="1">
        <f t="shared" si="94"/>
        <v>0</v>
      </c>
      <c r="F248" s="1">
        <f t="shared" si="95"/>
        <v>0</v>
      </c>
      <c r="G248" s="1">
        <f t="shared" si="96"/>
        <v>0</v>
      </c>
      <c r="H248" s="1">
        <f t="shared" si="97"/>
        <v>0</v>
      </c>
      <c r="I248" s="1">
        <f t="shared" si="98"/>
        <v>0.25</v>
      </c>
    </row>
    <row r="249" spans="1:10" x14ac:dyDescent="0.25">
      <c r="A249" s="60" t="s">
        <v>59</v>
      </c>
      <c r="B249" t="str">
        <f t="shared" si="91"/>
        <v>Collection System Inspection, Testing, and Cleaning - Part 2</v>
      </c>
      <c r="C249" t="str">
        <f t="shared" si="92"/>
        <v>25-06002-002</v>
      </c>
      <c r="D249" s="1">
        <f t="shared" si="93"/>
        <v>0.25</v>
      </c>
      <c r="E249" s="1">
        <f t="shared" si="94"/>
        <v>0</v>
      </c>
      <c r="F249" s="1">
        <f t="shared" si="95"/>
        <v>0</v>
      </c>
      <c r="G249" s="1">
        <f t="shared" si="96"/>
        <v>0</v>
      </c>
      <c r="H249" s="1">
        <f t="shared" si="97"/>
        <v>0</v>
      </c>
      <c r="I249" s="1">
        <f t="shared" si="98"/>
        <v>0.25</v>
      </c>
    </row>
    <row r="250" spans="1:10" x14ac:dyDescent="0.25">
      <c r="A250" s="60" t="s">
        <v>60</v>
      </c>
      <c r="B250" t="str">
        <f t="shared" si="91"/>
        <v>Lift Stations</v>
      </c>
      <c r="C250" t="str">
        <f t="shared" si="92"/>
        <v>25-06003-001</v>
      </c>
      <c r="D250" s="1">
        <f t="shared" si="93"/>
        <v>0.2</v>
      </c>
      <c r="E250" s="1">
        <f t="shared" si="94"/>
        <v>0</v>
      </c>
      <c r="F250" s="1">
        <f t="shared" si="95"/>
        <v>0.2</v>
      </c>
      <c r="G250" s="1">
        <f t="shared" si="96"/>
        <v>0.2</v>
      </c>
      <c r="H250" s="1">
        <f t="shared" si="97"/>
        <v>0</v>
      </c>
      <c r="I250" s="1">
        <f t="shared" si="98"/>
        <v>0.2</v>
      </c>
    </row>
    <row r="251" spans="1:10" x14ac:dyDescent="0.25">
      <c r="A251" s="60" t="s">
        <v>175</v>
      </c>
      <c r="B251" t="str">
        <f t="shared" si="91"/>
        <v>Manholes</v>
      </c>
      <c r="C251" t="str">
        <f t="shared" si="92"/>
        <v>25-06005-001</v>
      </c>
      <c r="D251" s="1">
        <f t="shared" si="93"/>
        <v>0.1</v>
      </c>
      <c r="E251" s="1">
        <f t="shared" si="94"/>
        <v>0</v>
      </c>
      <c r="F251" s="1">
        <f t="shared" si="95"/>
        <v>0</v>
      </c>
      <c r="G251" s="1">
        <f t="shared" si="96"/>
        <v>0</v>
      </c>
      <c r="H251" s="1">
        <f t="shared" si="97"/>
        <v>0</v>
      </c>
      <c r="I251" s="1">
        <f t="shared" si="98"/>
        <v>0.1</v>
      </c>
    </row>
    <row r="252" spans="1:10" x14ac:dyDescent="0.25">
      <c r="A252" s="60" t="s">
        <v>62</v>
      </c>
      <c r="B252" t="str">
        <f t="shared" si="91"/>
        <v>Trenching and Shoring</v>
      </c>
      <c r="C252" t="str">
        <f t="shared" si="92"/>
        <v>25-05998-001</v>
      </c>
      <c r="D252" s="1">
        <f t="shared" si="93"/>
        <v>0.25</v>
      </c>
      <c r="E252" s="1">
        <f t="shared" si="94"/>
        <v>0</v>
      </c>
      <c r="F252" s="1">
        <f t="shared" si="95"/>
        <v>0</v>
      </c>
      <c r="G252" s="1">
        <f t="shared" si="96"/>
        <v>0</v>
      </c>
      <c r="H252" s="1">
        <f t="shared" si="97"/>
        <v>0.25</v>
      </c>
      <c r="I252" s="1">
        <f t="shared" si="98"/>
        <v>0.25</v>
      </c>
    </row>
    <row r="253" spans="1:10" x14ac:dyDescent="0.25">
      <c r="A253" s="60" t="s">
        <v>1475</v>
      </c>
      <c r="B253" t="str">
        <f t="shared" si="91"/>
        <v>Demolition Saws</v>
      </c>
      <c r="C253" t="str">
        <f t="shared" si="92"/>
        <v>25-09506-001</v>
      </c>
      <c r="D253" s="1">
        <f t="shared" si="93"/>
        <v>0.05</v>
      </c>
      <c r="E253" s="1">
        <f t="shared" si="94"/>
        <v>0.05</v>
      </c>
      <c r="F253" s="1">
        <f t="shared" si="95"/>
        <v>0.05</v>
      </c>
      <c r="G253" s="1">
        <f t="shared" si="96"/>
        <v>0.05</v>
      </c>
      <c r="H253" s="1">
        <f t="shared" si="97"/>
        <v>0.05</v>
      </c>
      <c r="I253" s="1">
        <f t="shared" si="98"/>
        <v>0.05</v>
      </c>
    </row>
    <row r="254" spans="1:10" x14ac:dyDescent="0.25">
      <c r="A254" s="60" t="s">
        <v>742</v>
      </c>
      <c r="B254" t="str">
        <f t="shared" si="91"/>
        <v>MRT for Wastewater Treatment and Collection Systems</v>
      </c>
      <c r="C254" t="str">
        <f t="shared" si="92"/>
        <v>25-06840-002</v>
      </c>
      <c r="D254" s="1">
        <f t="shared" si="93"/>
        <v>0.25</v>
      </c>
      <c r="E254" s="1">
        <f t="shared" si="94"/>
        <v>0</v>
      </c>
      <c r="F254" s="1">
        <f t="shared" si="95"/>
        <v>0.25</v>
      </c>
      <c r="G254" s="1">
        <f t="shared" si="96"/>
        <v>0.25</v>
      </c>
      <c r="H254" s="1">
        <f t="shared" si="97"/>
        <v>0</v>
      </c>
      <c r="I254" s="1">
        <f t="shared" si="98"/>
        <v>0.25</v>
      </c>
    </row>
    <row r="255" spans="1:10" x14ac:dyDescent="0.25">
      <c r="A255" t="s">
        <v>287</v>
      </c>
      <c r="D255" s="1">
        <f>SUM(Table3910121821263133[Max])</f>
        <v>1.9</v>
      </c>
      <c r="E255" s="1">
        <f>SUM(Table3910121821263133[W])</f>
        <v>0.44999999999999996</v>
      </c>
      <c r="F255" s="1">
        <f>SUM(Table3910121821263133[WW])</f>
        <v>0.9</v>
      </c>
      <c r="G255" s="1">
        <f>SUM(Table3910121821263133[I])</f>
        <v>0.9</v>
      </c>
      <c r="H255" s="1">
        <f>SUM(Table3910121821263133[D])</f>
        <v>0.7</v>
      </c>
      <c r="I255" s="1">
        <f>SUM(Table3910121821263133[C])</f>
        <v>1.9</v>
      </c>
    </row>
    <row r="257" spans="1:10" x14ac:dyDescent="0.25">
      <c r="A257" s="6" t="s">
        <v>2312</v>
      </c>
      <c r="I257" s="61">
        <f>(D273-0.25)*10*20*0.9</f>
        <v>405</v>
      </c>
    </row>
    <row r="258" spans="1:10" x14ac:dyDescent="0.25">
      <c r="A258" t="s">
        <v>1956</v>
      </c>
      <c r="B258" t="s">
        <v>249</v>
      </c>
      <c r="C258" t="s">
        <v>1958</v>
      </c>
      <c r="D258" s="1" t="s">
        <v>1284</v>
      </c>
      <c r="E258" s="1" t="s">
        <v>22</v>
      </c>
      <c r="F258" s="1" t="s">
        <v>23</v>
      </c>
      <c r="G258" s="1" t="s">
        <v>26</v>
      </c>
      <c r="H258" s="1" t="s">
        <v>25</v>
      </c>
      <c r="I258" s="1" t="s">
        <v>24</v>
      </c>
    </row>
    <row r="259" spans="1:10" x14ac:dyDescent="0.25">
      <c r="A259" s="60" t="s">
        <v>52</v>
      </c>
      <c r="B259" t="str">
        <f t="shared" ref="B259:B272" si="99">LOOKUP($A259,$X:$X,Y:Y)</f>
        <v>Pumps</v>
      </c>
      <c r="C259" t="str">
        <f t="shared" ref="C259:C272" si="100">LOOKUP($A259,$X:$X,Z:Z)</f>
        <v>25-06046-002</v>
      </c>
      <c r="D259" s="1">
        <f t="shared" ref="D259:D272" si="101">LOOKUP($A259,$X:$X,AA:AA)</f>
        <v>0.2</v>
      </c>
      <c r="E259" s="1">
        <f t="shared" ref="E259:E272" si="102">LOOKUP($A259,$X:$X,AB:AB)</f>
        <v>0.2</v>
      </c>
      <c r="F259" s="1">
        <f t="shared" ref="F259:F272" si="103">LOOKUP($A259,$X:$X,AC:AC)</f>
        <v>0.2</v>
      </c>
      <c r="G259" s="1">
        <f t="shared" ref="G259:G272" si="104">LOOKUP($A259,$X:$X,AD:AD)</f>
        <v>0.2</v>
      </c>
      <c r="H259" s="1">
        <f t="shared" ref="H259:H272" si="105">LOOKUP($A259,$X:$X,AE:AE)</f>
        <v>0.2</v>
      </c>
      <c r="I259" s="1">
        <f t="shared" ref="I259:I272" si="106">LOOKUP($A259,$X:$X,AF:AF)</f>
        <v>0.2</v>
      </c>
    </row>
    <row r="260" spans="1:10" x14ac:dyDescent="0.25">
      <c r="A260" s="60" t="s">
        <v>53</v>
      </c>
      <c r="B260" t="str">
        <f t="shared" si="99"/>
        <v>Hydraulics Basics</v>
      </c>
      <c r="C260" t="str">
        <f t="shared" si="100"/>
        <v>25-05990-001</v>
      </c>
      <c r="D260" s="1">
        <f t="shared" si="101"/>
        <v>0.15</v>
      </c>
      <c r="E260" s="1">
        <f t="shared" si="102"/>
        <v>0.15</v>
      </c>
      <c r="F260" s="1">
        <f t="shared" si="103"/>
        <v>0.15</v>
      </c>
      <c r="G260" s="1">
        <f t="shared" si="104"/>
        <v>0.15</v>
      </c>
      <c r="H260" s="1">
        <f t="shared" si="105"/>
        <v>0.15</v>
      </c>
      <c r="I260" s="1">
        <f t="shared" si="106"/>
        <v>0.15</v>
      </c>
      <c r="J260" s="25"/>
    </row>
    <row r="261" spans="1:10" x14ac:dyDescent="0.25">
      <c r="A261" s="60" t="s">
        <v>56</v>
      </c>
      <c r="B261" t="str">
        <f t="shared" si="99"/>
        <v>Corrosion Control</v>
      </c>
      <c r="C261" t="str">
        <f t="shared" si="100"/>
        <v>25-05992-001</v>
      </c>
      <c r="D261" s="1">
        <f t="shared" si="101"/>
        <v>0.25</v>
      </c>
      <c r="E261" s="1">
        <f t="shared" si="102"/>
        <v>0.25</v>
      </c>
      <c r="F261" s="1">
        <f t="shared" si="103"/>
        <v>0.25</v>
      </c>
      <c r="G261" s="1">
        <f t="shared" si="104"/>
        <v>0.25</v>
      </c>
      <c r="H261" s="1">
        <f t="shared" si="105"/>
        <v>0.25</v>
      </c>
      <c r="I261" s="1">
        <f t="shared" si="106"/>
        <v>0.25</v>
      </c>
    </row>
    <row r="262" spans="1:10" x14ac:dyDescent="0.25">
      <c r="A262" s="60" t="s">
        <v>107</v>
      </c>
      <c r="B262" t="str">
        <f t="shared" si="99"/>
        <v>Electrical Fundamentals</v>
      </c>
      <c r="C262" t="str">
        <f t="shared" si="100"/>
        <v>25-05994-001</v>
      </c>
      <c r="D262" s="1">
        <f t="shared" si="101"/>
        <v>0.15</v>
      </c>
      <c r="E262" s="1">
        <f t="shared" si="102"/>
        <v>0.15</v>
      </c>
      <c r="F262" s="1">
        <f t="shared" si="103"/>
        <v>0.15</v>
      </c>
      <c r="G262" s="1">
        <f t="shared" si="104"/>
        <v>0.15</v>
      </c>
      <c r="H262" s="1">
        <f t="shared" si="105"/>
        <v>0.15</v>
      </c>
      <c r="I262" s="1">
        <f t="shared" si="106"/>
        <v>0.15</v>
      </c>
    </row>
    <row r="263" spans="1:10" x14ac:dyDescent="0.25">
      <c r="A263" s="60" t="s">
        <v>1056</v>
      </c>
      <c r="B263" t="str">
        <f t="shared" si="99"/>
        <v>Backflow Preventers</v>
      </c>
      <c r="C263" t="str">
        <f t="shared" si="100"/>
        <v>25-08959-001</v>
      </c>
      <c r="D263" s="1">
        <f t="shared" si="101"/>
        <v>0.05</v>
      </c>
      <c r="E263" s="1">
        <f t="shared" si="102"/>
        <v>0.05</v>
      </c>
      <c r="F263" s="1">
        <f t="shared" si="103"/>
        <v>0.05</v>
      </c>
      <c r="G263" s="1">
        <f t="shared" si="104"/>
        <v>0.05</v>
      </c>
      <c r="H263" s="1">
        <f t="shared" si="105"/>
        <v>0.05</v>
      </c>
      <c r="I263" s="1">
        <f t="shared" si="106"/>
        <v>0.05</v>
      </c>
    </row>
    <row r="264" spans="1:10" x14ac:dyDescent="0.25">
      <c r="A264" s="60" t="s">
        <v>57</v>
      </c>
      <c r="B264" t="str">
        <f t="shared" si="99"/>
        <v>Introduction to Collections Systems</v>
      </c>
      <c r="C264" t="str">
        <f t="shared" si="100"/>
        <v>25-06000-002</v>
      </c>
      <c r="D264" s="1">
        <f t="shared" si="101"/>
        <v>0.15</v>
      </c>
      <c r="E264" s="1">
        <f t="shared" si="102"/>
        <v>0</v>
      </c>
      <c r="F264" s="1">
        <f t="shared" si="103"/>
        <v>0</v>
      </c>
      <c r="G264" s="1">
        <f t="shared" si="104"/>
        <v>0</v>
      </c>
      <c r="H264" s="1">
        <f t="shared" si="105"/>
        <v>0</v>
      </c>
      <c r="I264" s="1">
        <f t="shared" si="106"/>
        <v>0.15</v>
      </c>
    </row>
    <row r="265" spans="1:10" x14ac:dyDescent="0.25">
      <c r="A265" s="60" t="s">
        <v>58</v>
      </c>
      <c r="B265" t="str">
        <f t="shared" si="99"/>
        <v>Collection System Inspection, Testing, and Cleaning - Part 1</v>
      </c>
      <c r="C265" t="str">
        <f t="shared" si="100"/>
        <v>25-06001-002</v>
      </c>
      <c r="D265" s="1">
        <f t="shared" si="101"/>
        <v>0.25</v>
      </c>
      <c r="E265" s="1">
        <f t="shared" si="102"/>
        <v>0</v>
      </c>
      <c r="F265" s="1">
        <f t="shared" si="103"/>
        <v>0</v>
      </c>
      <c r="G265" s="1">
        <f t="shared" si="104"/>
        <v>0</v>
      </c>
      <c r="H265" s="1">
        <f t="shared" si="105"/>
        <v>0</v>
      </c>
      <c r="I265" s="1">
        <f t="shared" si="106"/>
        <v>0.25</v>
      </c>
    </row>
    <row r="266" spans="1:10" x14ac:dyDescent="0.25">
      <c r="A266" s="60" t="s">
        <v>59</v>
      </c>
      <c r="B266" t="str">
        <f t="shared" si="99"/>
        <v>Collection System Inspection, Testing, and Cleaning - Part 2</v>
      </c>
      <c r="C266" t="str">
        <f t="shared" si="100"/>
        <v>25-06002-002</v>
      </c>
      <c r="D266" s="1">
        <f t="shared" si="101"/>
        <v>0.25</v>
      </c>
      <c r="E266" s="1">
        <f t="shared" si="102"/>
        <v>0</v>
      </c>
      <c r="F266" s="1">
        <f t="shared" si="103"/>
        <v>0</v>
      </c>
      <c r="G266" s="1">
        <f t="shared" si="104"/>
        <v>0</v>
      </c>
      <c r="H266" s="1">
        <f t="shared" si="105"/>
        <v>0</v>
      </c>
      <c r="I266" s="1">
        <f t="shared" si="106"/>
        <v>0.25</v>
      </c>
    </row>
    <row r="267" spans="1:10" x14ac:dyDescent="0.25">
      <c r="A267" s="60" t="s">
        <v>60</v>
      </c>
      <c r="B267" t="str">
        <f t="shared" si="99"/>
        <v>Lift Stations</v>
      </c>
      <c r="C267" t="str">
        <f t="shared" si="100"/>
        <v>25-06003-001</v>
      </c>
      <c r="D267" s="1">
        <f t="shared" si="101"/>
        <v>0.2</v>
      </c>
      <c r="E267" s="1">
        <f t="shared" si="102"/>
        <v>0</v>
      </c>
      <c r="F267" s="1">
        <f t="shared" si="103"/>
        <v>0.2</v>
      </c>
      <c r="G267" s="1">
        <f t="shared" si="104"/>
        <v>0.2</v>
      </c>
      <c r="H267" s="1">
        <f t="shared" si="105"/>
        <v>0</v>
      </c>
      <c r="I267" s="1">
        <f t="shared" si="106"/>
        <v>0.2</v>
      </c>
    </row>
    <row r="268" spans="1:10" x14ac:dyDescent="0.25">
      <c r="A268" s="60" t="s">
        <v>175</v>
      </c>
      <c r="B268" t="str">
        <f t="shared" si="99"/>
        <v>Manholes</v>
      </c>
      <c r="C268" t="str">
        <f t="shared" si="100"/>
        <v>25-06005-001</v>
      </c>
      <c r="D268" s="1">
        <f t="shared" si="101"/>
        <v>0.1</v>
      </c>
      <c r="E268" s="1">
        <f t="shared" si="102"/>
        <v>0</v>
      </c>
      <c r="F268" s="1">
        <f t="shared" si="103"/>
        <v>0</v>
      </c>
      <c r="G268" s="1">
        <f t="shared" si="104"/>
        <v>0</v>
      </c>
      <c r="H268" s="1">
        <f t="shared" si="105"/>
        <v>0</v>
      </c>
      <c r="I268" s="1">
        <f t="shared" si="106"/>
        <v>0.1</v>
      </c>
    </row>
    <row r="269" spans="1:10" x14ac:dyDescent="0.25">
      <c r="A269" s="60" t="s">
        <v>62</v>
      </c>
      <c r="B269" t="str">
        <f t="shared" si="99"/>
        <v>Trenching and Shoring</v>
      </c>
      <c r="C269" t="str">
        <f t="shared" si="100"/>
        <v>25-05998-001</v>
      </c>
      <c r="D269" s="1">
        <f t="shared" si="101"/>
        <v>0.25</v>
      </c>
      <c r="E269" s="1">
        <f t="shared" si="102"/>
        <v>0</v>
      </c>
      <c r="F269" s="1">
        <f t="shared" si="103"/>
        <v>0</v>
      </c>
      <c r="G269" s="1">
        <f t="shared" si="104"/>
        <v>0</v>
      </c>
      <c r="H269" s="1">
        <f t="shared" si="105"/>
        <v>0.25</v>
      </c>
      <c r="I269" s="1">
        <f t="shared" si="106"/>
        <v>0.25</v>
      </c>
    </row>
    <row r="270" spans="1:10" x14ac:dyDescent="0.25">
      <c r="A270" s="60" t="s">
        <v>1475</v>
      </c>
      <c r="B270" t="str">
        <f t="shared" si="99"/>
        <v>Demolition Saws</v>
      </c>
      <c r="C270" t="str">
        <f t="shared" si="100"/>
        <v>25-09506-001</v>
      </c>
      <c r="D270" s="1">
        <f t="shared" si="101"/>
        <v>0.05</v>
      </c>
      <c r="E270" s="1">
        <f t="shared" si="102"/>
        <v>0.05</v>
      </c>
      <c r="F270" s="1">
        <f t="shared" si="103"/>
        <v>0.05</v>
      </c>
      <c r="G270" s="1">
        <f t="shared" si="104"/>
        <v>0.05</v>
      </c>
      <c r="H270" s="1">
        <f t="shared" si="105"/>
        <v>0.05</v>
      </c>
      <c r="I270" s="1">
        <f t="shared" si="106"/>
        <v>0.05</v>
      </c>
    </row>
    <row r="271" spans="1:10" x14ac:dyDescent="0.25">
      <c r="A271" s="60" t="s">
        <v>493</v>
      </c>
      <c r="B271" t="str">
        <f t="shared" si="99"/>
        <v>Odor Control</v>
      </c>
      <c r="C271" t="str">
        <f t="shared" si="100"/>
        <v>25-06026-001</v>
      </c>
      <c r="D271" s="1">
        <f t="shared" si="101"/>
        <v>0.2</v>
      </c>
      <c r="E271" s="1">
        <f t="shared" si="102"/>
        <v>0</v>
      </c>
      <c r="F271" s="1">
        <f t="shared" si="103"/>
        <v>0.2</v>
      </c>
      <c r="G271" s="1">
        <f t="shared" si="104"/>
        <v>0.2</v>
      </c>
      <c r="H271" s="1">
        <f t="shared" si="105"/>
        <v>0</v>
      </c>
      <c r="I271" s="1">
        <f t="shared" si="106"/>
        <v>0.2</v>
      </c>
    </row>
    <row r="272" spans="1:10" x14ac:dyDescent="0.25">
      <c r="A272" s="60" t="s">
        <v>742</v>
      </c>
      <c r="B272" t="str">
        <f t="shared" si="99"/>
        <v>MRT for Wastewater Treatment and Collection Systems</v>
      </c>
      <c r="C272" t="str">
        <f t="shared" si="100"/>
        <v>25-06840-002</v>
      </c>
      <c r="D272" s="1">
        <f t="shared" si="101"/>
        <v>0.25</v>
      </c>
      <c r="E272" s="1">
        <f t="shared" si="102"/>
        <v>0</v>
      </c>
      <c r="F272" s="1">
        <f t="shared" si="103"/>
        <v>0.25</v>
      </c>
      <c r="G272" s="1">
        <f t="shared" si="104"/>
        <v>0.25</v>
      </c>
      <c r="H272" s="1">
        <f t="shared" si="105"/>
        <v>0</v>
      </c>
      <c r="I272" s="1">
        <f t="shared" si="106"/>
        <v>0.25</v>
      </c>
    </row>
    <row r="273" spans="1:10" x14ac:dyDescent="0.25">
      <c r="A273" t="s">
        <v>287</v>
      </c>
      <c r="D273" s="1">
        <f>SUM(Table391012182126313334[Max])</f>
        <v>2.5</v>
      </c>
      <c r="E273" s="1">
        <f>SUM(Table391012182126313334[W])</f>
        <v>0.85000000000000009</v>
      </c>
      <c r="F273" s="1">
        <f>SUM(Table391012182126313334[WW])</f>
        <v>1.5</v>
      </c>
      <c r="G273" s="1">
        <f>SUM(Table391012182126313334[I])</f>
        <v>1.5</v>
      </c>
      <c r="H273" s="1">
        <f>SUM(Table391012182126313334[D])</f>
        <v>1.1000000000000001</v>
      </c>
      <c r="I273" s="1">
        <f>SUM(Table391012182126313334[C])</f>
        <v>2.5</v>
      </c>
    </row>
    <row r="275" spans="1:10" x14ac:dyDescent="0.25">
      <c r="A275" s="6" t="s">
        <v>2313</v>
      </c>
      <c r="I275" s="61">
        <f>(D294-0.25)*10*20*0.9</f>
        <v>504.00000000000011</v>
      </c>
    </row>
    <row r="276" spans="1:10" x14ac:dyDescent="0.25">
      <c r="A276" t="s">
        <v>1956</v>
      </c>
      <c r="B276" t="s">
        <v>249</v>
      </c>
      <c r="C276" t="s">
        <v>1958</v>
      </c>
      <c r="D276" s="1" t="s">
        <v>1284</v>
      </c>
      <c r="E276" s="1" t="s">
        <v>22</v>
      </c>
      <c r="F276" s="1" t="s">
        <v>23</v>
      </c>
      <c r="G276" s="1" t="s">
        <v>26</v>
      </c>
      <c r="H276" s="1" t="s">
        <v>25</v>
      </c>
      <c r="I276" s="1" t="s">
        <v>24</v>
      </c>
    </row>
    <row r="277" spans="1:10" x14ac:dyDescent="0.25">
      <c r="A277" s="60" t="s">
        <v>52</v>
      </c>
      <c r="B277" t="str">
        <f t="shared" ref="B277:B293" si="107">LOOKUP($A277,$X:$X,Y:Y)</f>
        <v>Pumps</v>
      </c>
      <c r="C277" t="str">
        <f t="shared" ref="C277:C293" si="108">LOOKUP($A277,$X:$X,Z:Z)</f>
        <v>25-06046-002</v>
      </c>
      <c r="D277" s="1">
        <f t="shared" ref="D277:D293" si="109">LOOKUP($A277,$X:$X,AA:AA)</f>
        <v>0.2</v>
      </c>
      <c r="E277" s="1">
        <f t="shared" ref="E277:E293" si="110">LOOKUP($A277,$X:$X,AB:AB)</f>
        <v>0.2</v>
      </c>
      <c r="F277" s="1">
        <f t="shared" ref="F277:F293" si="111">LOOKUP($A277,$X:$X,AC:AC)</f>
        <v>0.2</v>
      </c>
      <c r="G277" s="1">
        <f t="shared" ref="G277:G293" si="112">LOOKUP($A277,$X:$X,AD:AD)</f>
        <v>0.2</v>
      </c>
      <c r="H277" s="1">
        <f t="shared" ref="H277:H293" si="113">LOOKUP($A277,$X:$X,AE:AE)</f>
        <v>0.2</v>
      </c>
      <c r="I277" s="1">
        <f t="shared" ref="I277:I293" si="114">LOOKUP($A277,$X:$X,AF:AF)</f>
        <v>0.2</v>
      </c>
    </row>
    <row r="278" spans="1:10" x14ac:dyDescent="0.25">
      <c r="A278" s="60" t="s">
        <v>53</v>
      </c>
      <c r="B278" t="str">
        <f t="shared" si="107"/>
        <v>Hydraulics Basics</v>
      </c>
      <c r="C278" t="str">
        <f t="shared" si="108"/>
        <v>25-05990-001</v>
      </c>
      <c r="D278" s="1">
        <f t="shared" si="109"/>
        <v>0.15</v>
      </c>
      <c r="E278" s="1">
        <f t="shared" si="110"/>
        <v>0.15</v>
      </c>
      <c r="F278" s="1">
        <f t="shared" si="111"/>
        <v>0.15</v>
      </c>
      <c r="G278" s="1">
        <f t="shared" si="112"/>
        <v>0.15</v>
      </c>
      <c r="H278" s="1">
        <f t="shared" si="113"/>
        <v>0.15</v>
      </c>
      <c r="I278" s="1">
        <f t="shared" si="114"/>
        <v>0.15</v>
      </c>
    </row>
    <row r="279" spans="1:10" x14ac:dyDescent="0.25">
      <c r="A279" s="60" t="s">
        <v>56</v>
      </c>
      <c r="B279" t="str">
        <f t="shared" si="107"/>
        <v>Corrosion Control</v>
      </c>
      <c r="C279" t="str">
        <f t="shared" si="108"/>
        <v>25-05992-001</v>
      </c>
      <c r="D279" s="1">
        <f t="shared" si="109"/>
        <v>0.25</v>
      </c>
      <c r="E279" s="1">
        <f t="shared" si="110"/>
        <v>0.25</v>
      </c>
      <c r="F279" s="1">
        <f t="shared" si="111"/>
        <v>0.25</v>
      </c>
      <c r="G279" s="1">
        <f t="shared" si="112"/>
        <v>0.25</v>
      </c>
      <c r="H279" s="1">
        <f t="shared" si="113"/>
        <v>0.25</v>
      </c>
      <c r="I279" s="1">
        <f t="shared" si="114"/>
        <v>0.25</v>
      </c>
      <c r="J279" s="25"/>
    </row>
    <row r="280" spans="1:10" x14ac:dyDescent="0.25">
      <c r="A280" s="60" t="s">
        <v>489</v>
      </c>
      <c r="B280" t="str">
        <f t="shared" si="107"/>
        <v>Maintenance</v>
      </c>
      <c r="C280" t="str">
        <f t="shared" si="108"/>
        <v>25-05993-001</v>
      </c>
      <c r="D280" s="1">
        <f t="shared" si="109"/>
        <v>0.15</v>
      </c>
      <c r="E280" s="1">
        <f t="shared" si="110"/>
        <v>0.15</v>
      </c>
      <c r="F280" s="1">
        <f t="shared" si="111"/>
        <v>0.15</v>
      </c>
      <c r="G280" s="1">
        <f t="shared" si="112"/>
        <v>0.15</v>
      </c>
      <c r="H280" s="1">
        <f t="shared" si="113"/>
        <v>0.15</v>
      </c>
      <c r="I280" s="1">
        <f t="shared" si="114"/>
        <v>0.15</v>
      </c>
    </row>
    <row r="281" spans="1:10" x14ac:dyDescent="0.25">
      <c r="A281" s="60" t="s">
        <v>107</v>
      </c>
      <c r="B281" t="str">
        <f t="shared" si="107"/>
        <v>Electrical Fundamentals</v>
      </c>
      <c r="C281" t="str">
        <f t="shared" si="108"/>
        <v>25-05994-001</v>
      </c>
      <c r="D281" s="1">
        <f t="shared" si="109"/>
        <v>0.15</v>
      </c>
      <c r="E281" s="1">
        <f t="shared" si="110"/>
        <v>0.15</v>
      </c>
      <c r="F281" s="1">
        <f t="shared" si="111"/>
        <v>0.15</v>
      </c>
      <c r="G281" s="1">
        <f t="shared" si="112"/>
        <v>0.15</v>
      </c>
      <c r="H281" s="1">
        <f t="shared" si="113"/>
        <v>0.15</v>
      </c>
      <c r="I281" s="1">
        <f t="shared" si="114"/>
        <v>0.15</v>
      </c>
    </row>
    <row r="282" spans="1:10" x14ac:dyDescent="0.25">
      <c r="A282" s="60" t="s">
        <v>1056</v>
      </c>
      <c r="B282" t="str">
        <f t="shared" si="107"/>
        <v>Backflow Preventers</v>
      </c>
      <c r="C282" t="str">
        <f t="shared" si="108"/>
        <v>25-08959-001</v>
      </c>
      <c r="D282" s="1">
        <f t="shared" si="109"/>
        <v>0.05</v>
      </c>
      <c r="E282" s="1">
        <f t="shared" si="110"/>
        <v>0.05</v>
      </c>
      <c r="F282" s="1">
        <f t="shared" si="111"/>
        <v>0.05</v>
      </c>
      <c r="G282" s="1">
        <f t="shared" si="112"/>
        <v>0.05</v>
      </c>
      <c r="H282" s="1">
        <f t="shared" si="113"/>
        <v>0.05</v>
      </c>
      <c r="I282" s="1">
        <f t="shared" si="114"/>
        <v>0.05</v>
      </c>
    </row>
    <row r="283" spans="1:10" x14ac:dyDescent="0.25">
      <c r="A283" s="60" t="s">
        <v>57</v>
      </c>
      <c r="B283" t="str">
        <f t="shared" si="107"/>
        <v>Introduction to Collections Systems</v>
      </c>
      <c r="C283" t="str">
        <f t="shared" si="108"/>
        <v>25-06000-002</v>
      </c>
      <c r="D283" s="1">
        <f t="shared" si="109"/>
        <v>0.15</v>
      </c>
      <c r="E283" s="1">
        <f t="shared" si="110"/>
        <v>0</v>
      </c>
      <c r="F283" s="1">
        <f t="shared" si="111"/>
        <v>0</v>
      </c>
      <c r="G283" s="1">
        <f t="shared" si="112"/>
        <v>0</v>
      </c>
      <c r="H283" s="1">
        <f t="shared" si="113"/>
        <v>0</v>
      </c>
      <c r="I283" s="1">
        <f t="shared" si="114"/>
        <v>0.15</v>
      </c>
    </row>
    <row r="284" spans="1:10" x14ac:dyDescent="0.25">
      <c r="A284" s="60" t="s">
        <v>58</v>
      </c>
      <c r="B284" t="str">
        <f t="shared" si="107"/>
        <v>Collection System Inspection, Testing, and Cleaning - Part 1</v>
      </c>
      <c r="C284" t="str">
        <f t="shared" si="108"/>
        <v>25-06001-002</v>
      </c>
      <c r="D284" s="1">
        <f t="shared" si="109"/>
        <v>0.25</v>
      </c>
      <c r="E284" s="1">
        <f t="shared" si="110"/>
        <v>0</v>
      </c>
      <c r="F284" s="1">
        <f t="shared" si="111"/>
        <v>0</v>
      </c>
      <c r="G284" s="1">
        <f t="shared" si="112"/>
        <v>0</v>
      </c>
      <c r="H284" s="1">
        <f t="shared" si="113"/>
        <v>0</v>
      </c>
      <c r="I284" s="1">
        <f t="shared" si="114"/>
        <v>0.25</v>
      </c>
    </row>
    <row r="285" spans="1:10" x14ac:dyDescent="0.25">
      <c r="A285" s="60" t="s">
        <v>59</v>
      </c>
      <c r="B285" t="str">
        <f t="shared" si="107"/>
        <v>Collection System Inspection, Testing, and Cleaning - Part 2</v>
      </c>
      <c r="C285" t="str">
        <f t="shared" si="108"/>
        <v>25-06002-002</v>
      </c>
      <c r="D285" s="1">
        <f t="shared" si="109"/>
        <v>0.25</v>
      </c>
      <c r="E285" s="1">
        <f t="shared" si="110"/>
        <v>0</v>
      </c>
      <c r="F285" s="1">
        <f t="shared" si="111"/>
        <v>0</v>
      </c>
      <c r="G285" s="1">
        <f t="shared" si="112"/>
        <v>0</v>
      </c>
      <c r="H285" s="1">
        <f t="shared" si="113"/>
        <v>0</v>
      </c>
      <c r="I285" s="1">
        <f t="shared" si="114"/>
        <v>0.25</v>
      </c>
    </row>
    <row r="286" spans="1:10" x14ac:dyDescent="0.25">
      <c r="A286" s="60" t="s">
        <v>60</v>
      </c>
      <c r="B286" t="str">
        <f t="shared" si="107"/>
        <v>Lift Stations</v>
      </c>
      <c r="C286" t="str">
        <f t="shared" si="108"/>
        <v>25-06003-001</v>
      </c>
      <c r="D286" s="1">
        <f t="shared" si="109"/>
        <v>0.2</v>
      </c>
      <c r="E286" s="1">
        <f t="shared" si="110"/>
        <v>0</v>
      </c>
      <c r="F286" s="1">
        <f t="shared" si="111"/>
        <v>0.2</v>
      </c>
      <c r="G286" s="1">
        <f t="shared" si="112"/>
        <v>0.2</v>
      </c>
      <c r="H286" s="1">
        <f t="shared" si="113"/>
        <v>0</v>
      </c>
      <c r="I286" s="1">
        <f t="shared" si="114"/>
        <v>0.2</v>
      </c>
    </row>
    <row r="287" spans="1:10" x14ac:dyDescent="0.25">
      <c r="A287" s="60" t="s">
        <v>61</v>
      </c>
      <c r="B287" t="str">
        <f t="shared" si="107"/>
        <v>Pretreatment and Pollution Prevention</v>
      </c>
      <c r="C287" t="str">
        <f t="shared" si="108"/>
        <v>25-06004-001</v>
      </c>
      <c r="D287" s="1">
        <f t="shared" si="109"/>
        <v>0.3</v>
      </c>
      <c r="E287" s="1">
        <f t="shared" si="110"/>
        <v>0.3</v>
      </c>
      <c r="F287" s="1">
        <f t="shared" si="111"/>
        <v>0.3</v>
      </c>
      <c r="G287" s="1">
        <f t="shared" si="112"/>
        <v>0.3</v>
      </c>
      <c r="H287" s="1">
        <f t="shared" si="113"/>
        <v>0</v>
      </c>
      <c r="I287" s="1">
        <f t="shared" si="114"/>
        <v>0</v>
      </c>
    </row>
    <row r="288" spans="1:10" x14ac:dyDescent="0.25">
      <c r="A288" s="60" t="s">
        <v>175</v>
      </c>
      <c r="B288" t="str">
        <f t="shared" si="107"/>
        <v>Manholes</v>
      </c>
      <c r="C288" t="str">
        <f t="shared" si="108"/>
        <v>25-06005-001</v>
      </c>
      <c r="D288" s="1">
        <f t="shared" si="109"/>
        <v>0.1</v>
      </c>
      <c r="E288" s="1">
        <f t="shared" si="110"/>
        <v>0</v>
      </c>
      <c r="F288" s="1">
        <f t="shared" si="111"/>
        <v>0</v>
      </c>
      <c r="G288" s="1">
        <f t="shared" si="112"/>
        <v>0</v>
      </c>
      <c r="H288" s="1">
        <f t="shared" si="113"/>
        <v>0</v>
      </c>
      <c r="I288" s="1">
        <f t="shared" si="114"/>
        <v>0.1</v>
      </c>
    </row>
    <row r="289" spans="1:9" x14ac:dyDescent="0.25">
      <c r="A289" s="60" t="s">
        <v>62</v>
      </c>
      <c r="B289" t="str">
        <f t="shared" si="107"/>
        <v>Trenching and Shoring</v>
      </c>
      <c r="C289" t="str">
        <f t="shared" si="108"/>
        <v>25-05998-001</v>
      </c>
      <c r="D289" s="1">
        <f t="shared" si="109"/>
        <v>0.25</v>
      </c>
      <c r="E289" s="1">
        <f t="shared" si="110"/>
        <v>0</v>
      </c>
      <c r="F289" s="1">
        <f t="shared" si="111"/>
        <v>0</v>
      </c>
      <c r="G289" s="1">
        <f t="shared" si="112"/>
        <v>0</v>
      </c>
      <c r="H289" s="1">
        <f t="shared" si="113"/>
        <v>0.25</v>
      </c>
      <c r="I289" s="1">
        <f t="shared" si="114"/>
        <v>0.25</v>
      </c>
    </row>
    <row r="290" spans="1:9" x14ac:dyDescent="0.25">
      <c r="A290" s="60" t="s">
        <v>1475</v>
      </c>
      <c r="B290" t="str">
        <f t="shared" si="107"/>
        <v>Demolition Saws</v>
      </c>
      <c r="C290" t="str">
        <f t="shared" si="108"/>
        <v>25-09506-001</v>
      </c>
      <c r="D290" s="1">
        <f t="shared" si="109"/>
        <v>0.05</v>
      </c>
      <c r="E290" s="1">
        <f t="shared" si="110"/>
        <v>0.05</v>
      </c>
      <c r="F290" s="1">
        <f t="shared" si="111"/>
        <v>0.05</v>
      </c>
      <c r="G290" s="1">
        <f t="shared" si="112"/>
        <v>0.05</v>
      </c>
      <c r="H290" s="1">
        <f t="shared" si="113"/>
        <v>0.05</v>
      </c>
      <c r="I290" s="1">
        <f t="shared" si="114"/>
        <v>0.05</v>
      </c>
    </row>
    <row r="291" spans="1:9" x14ac:dyDescent="0.25">
      <c r="A291" s="60" t="s">
        <v>65</v>
      </c>
      <c r="B291" t="str">
        <f t="shared" si="107"/>
        <v>Preliminary Treatment</v>
      </c>
      <c r="C291" t="str">
        <f t="shared" si="108"/>
        <v>25-09381-001</v>
      </c>
      <c r="D291" s="1">
        <f t="shared" si="109"/>
        <v>0.1</v>
      </c>
      <c r="E291" s="1">
        <f t="shared" si="110"/>
        <v>0.05</v>
      </c>
      <c r="F291" s="1">
        <f t="shared" si="111"/>
        <v>0.1</v>
      </c>
      <c r="G291" s="1">
        <f t="shared" si="112"/>
        <v>0.1</v>
      </c>
      <c r="H291" s="1">
        <f t="shared" si="113"/>
        <v>0</v>
      </c>
      <c r="I291" s="1">
        <f t="shared" si="114"/>
        <v>0.05</v>
      </c>
    </row>
    <row r="292" spans="1:9" x14ac:dyDescent="0.25">
      <c r="A292" s="60" t="s">
        <v>493</v>
      </c>
      <c r="B292" t="str">
        <f t="shared" si="107"/>
        <v>Odor Control</v>
      </c>
      <c r="C292" t="str">
        <f t="shared" si="108"/>
        <v>25-06026-001</v>
      </c>
      <c r="D292" s="1">
        <f t="shared" si="109"/>
        <v>0.2</v>
      </c>
      <c r="E292" s="1">
        <f t="shared" si="110"/>
        <v>0</v>
      </c>
      <c r="F292" s="1">
        <f t="shared" si="111"/>
        <v>0.2</v>
      </c>
      <c r="G292" s="1">
        <f t="shared" si="112"/>
        <v>0.2</v>
      </c>
      <c r="H292" s="1">
        <f t="shared" si="113"/>
        <v>0</v>
      </c>
      <c r="I292" s="1">
        <f t="shared" si="114"/>
        <v>0.2</v>
      </c>
    </row>
    <row r="293" spans="1:9" x14ac:dyDescent="0.25">
      <c r="A293" s="60" t="s">
        <v>742</v>
      </c>
      <c r="B293" t="str">
        <f t="shared" si="107"/>
        <v>MRT for Wastewater Treatment and Collection Systems</v>
      </c>
      <c r="C293" t="str">
        <f t="shared" si="108"/>
        <v>25-06840-002</v>
      </c>
      <c r="D293" s="1">
        <f t="shared" si="109"/>
        <v>0.25</v>
      </c>
      <c r="E293" s="1">
        <f t="shared" si="110"/>
        <v>0</v>
      </c>
      <c r="F293" s="1">
        <f t="shared" si="111"/>
        <v>0.25</v>
      </c>
      <c r="G293" s="1">
        <f t="shared" si="112"/>
        <v>0.25</v>
      </c>
      <c r="H293" s="1">
        <f t="shared" si="113"/>
        <v>0</v>
      </c>
      <c r="I293" s="1">
        <f t="shared" si="114"/>
        <v>0.25</v>
      </c>
    </row>
    <row r="294" spans="1:9" x14ac:dyDescent="0.25">
      <c r="A294" t="s">
        <v>287</v>
      </c>
      <c r="D294" s="1">
        <f>SUM(Table391012182126313335[Max])</f>
        <v>3.0500000000000003</v>
      </c>
      <c r="E294" s="1">
        <f>SUM(Table391012182126313335[W])</f>
        <v>1.35</v>
      </c>
      <c r="F294" s="1">
        <f>SUM(Table391012182126313335[WW])</f>
        <v>2.0500000000000003</v>
      </c>
      <c r="G294" s="1">
        <f>SUM(Table391012182126313335[I])</f>
        <v>2.0500000000000003</v>
      </c>
      <c r="H294" s="1">
        <f>SUM(Table391012182126313335[D])</f>
        <v>1.2500000000000002</v>
      </c>
      <c r="I294" s="1">
        <f>SUM(Table391012182126313335[C])</f>
        <v>2.7</v>
      </c>
    </row>
    <row r="296" spans="1:9" x14ac:dyDescent="0.25">
      <c r="A296" s="6" t="s">
        <v>2314</v>
      </c>
      <c r="I296" s="61">
        <f>(D305-0.55)*10*20*0.9</f>
        <v>143.99999999999997</v>
      </c>
    </row>
    <row r="297" spans="1:9" x14ac:dyDescent="0.25">
      <c r="A297" t="s">
        <v>1956</v>
      </c>
      <c r="B297" t="s">
        <v>249</v>
      </c>
      <c r="C297" t="s">
        <v>1958</v>
      </c>
      <c r="D297" s="1" t="s">
        <v>1284</v>
      </c>
      <c r="E297" s="1" t="s">
        <v>22</v>
      </c>
      <c r="F297" s="1" t="s">
        <v>23</v>
      </c>
      <c r="G297" s="1" t="s">
        <v>26</v>
      </c>
      <c r="H297" s="1" t="s">
        <v>25</v>
      </c>
      <c r="I297" s="1" t="s">
        <v>24</v>
      </c>
    </row>
    <row r="298" spans="1:9" x14ac:dyDescent="0.25">
      <c r="A298" s="60" t="s">
        <v>60</v>
      </c>
      <c r="B298" t="str">
        <f t="shared" ref="B298:I304" si="115">LOOKUP($A298,$X:$X,Y:Y)</f>
        <v>Lift Stations</v>
      </c>
      <c r="C298" t="str">
        <f t="shared" si="115"/>
        <v>25-06003-001</v>
      </c>
      <c r="D298" s="1">
        <f t="shared" si="115"/>
        <v>0.2</v>
      </c>
      <c r="E298" s="1">
        <f t="shared" si="115"/>
        <v>0</v>
      </c>
      <c r="F298" s="1">
        <f t="shared" si="115"/>
        <v>0.2</v>
      </c>
      <c r="G298" s="1">
        <f t="shared" si="115"/>
        <v>0.2</v>
      </c>
      <c r="H298" s="1">
        <f t="shared" si="115"/>
        <v>0</v>
      </c>
      <c r="I298" s="1">
        <f t="shared" si="115"/>
        <v>0.2</v>
      </c>
    </row>
    <row r="299" spans="1:9" x14ac:dyDescent="0.25">
      <c r="A299" s="60" t="s">
        <v>499</v>
      </c>
      <c r="B299" t="str">
        <f t="shared" si="115"/>
        <v>Laboratory - Chlorine Residual by DPD</v>
      </c>
      <c r="C299" t="str">
        <f t="shared" si="115"/>
        <v>25-07709-001</v>
      </c>
      <c r="D299" s="1">
        <f t="shared" si="115"/>
        <v>0.05</v>
      </c>
      <c r="E299" s="1">
        <f t="shared" si="115"/>
        <v>0.05</v>
      </c>
      <c r="F299" s="1">
        <f t="shared" si="115"/>
        <v>0.05</v>
      </c>
      <c r="G299" s="1">
        <f t="shared" si="115"/>
        <v>0.05</v>
      </c>
      <c r="H299" s="1">
        <f t="shared" si="115"/>
        <v>0.05</v>
      </c>
      <c r="I299" s="1">
        <f t="shared" si="115"/>
        <v>0</v>
      </c>
    </row>
    <row r="300" spans="1:9" x14ac:dyDescent="0.25">
      <c r="A300" s="60" t="s">
        <v>91</v>
      </c>
      <c r="B300" t="str">
        <f t="shared" si="115"/>
        <v>Water Sources Part 2</v>
      </c>
      <c r="C300" t="str">
        <f t="shared" si="115"/>
        <v>25-06036-001</v>
      </c>
      <c r="D300" s="1">
        <f t="shared" si="115"/>
        <v>0.1</v>
      </c>
      <c r="E300" s="1">
        <f t="shared" si="115"/>
        <v>0.1</v>
      </c>
      <c r="F300" s="1">
        <f t="shared" si="115"/>
        <v>0</v>
      </c>
      <c r="G300" s="1">
        <f t="shared" si="115"/>
        <v>0.1</v>
      </c>
      <c r="H300" s="1">
        <f t="shared" si="115"/>
        <v>0.1</v>
      </c>
      <c r="I300" s="1">
        <f t="shared" si="115"/>
        <v>0</v>
      </c>
    </row>
    <row r="301" spans="1:9" x14ac:dyDescent="0.25">
      <c r="A301" s="60" t="s">
        <v>92</v>
      </c>
      <c r="B301" t="str">
        <f t="shared" si="115"/>
        <v>Drinking Water Treatment Part 1</v>
      </c>
      <c r="C301" t="str">
        <f t="shared" si="115"/>
        <v>25-06037-001</v>
      </c>
      <c r="D301" s="1">
        <f t="shared" si="115"/>
        <v>0.25</v>
      </c>
      <c r="E301" s="1">
        <f t="shared" si="115"/>
        <v>0.25</v>
      </c>
      <c r="F301" s="1">
        <f t="shared" si="115"/>
        <v>0</v>
      </c>
      <c r="G301" s="1">
        <f t="shared" si="115"/>
        <v>0</v>
      </c>
      <c r="H301" s="1">
        <f t="shared" si="115"/>
        <v>0</v>
      </c>
      <c r="I301" s="1">
        <f t="shared" si="115"/>
        <v>0</v>
      </c>
    </row>
    <row r="302" spans="1:9" x14ac:dyDescent="0.25">
      <c r="A302" s="60" t="s">
        <v>95</v>
      </c>
      <c r="B302" t="str">
        <f t="shared" si="115"/>
        <v>MRT Drinking Water Regulatory Course</v>
      </c>
      <c r="C302" t="str">
        <f t="shared" si="115"/>
        <v>25-06743-002</v>
      </c>
      <c r="D302" s="1">
        <f t="shared" si="115"/>
        <v>0.3</v>
      </c>
      <c r="E302" s="1">
        <f t="shared" si="115"/>
        <v>0.3</v>
      </c>
      <c r="F302" s="1">
        <f t="shared" si="115"/>
        <v>0</v>
      </c>
      <c r="G302" s="1">
        <f t="shared" si="115"/>
        <v>0</v>
      </c>
      <c r="H302" s="1">
        <f t="shared" si="115"/>
        <v>0.3</v>
      </c>
      <c r="I302" s="1">
        <f t="shared" si="115"/>
        <v>0</v>
      </c>
    </row>
    <row r="303" spans="1:9" x14ac:dyDescent="0.25">
      <c r="A303" s="60" t="s">
        <v>1793</v>
      </c>
      <c r="B303" t="str">
        <f t="shared" si="115"/>
        <v>Wastewater Treatment Lagoons</v>
      </c>
      <c r="C303" t="str">
        <f t="shared" si="115"/>
        <v>25-10618-001</v>
      </c>
      <c r="D303" s="1">
        <f t="shared" si="115"/>
        <v>0.2</v>
      </c>
      <c r="E303" s="1">
        <f t="shared" si="115"/>
        <v>0</v>
      </c>
      <c r="F303" s="1">
        <f t="shared" si="115"/>
        <v>0.2</v>
      </c>
      <c r="G303" s="1">
        <f t="shared" si="115"/>
        <v>0.2</v>
      </c>
      <c r="H303" s="1">
        <f t="shared" si="115"/>
        <v>0</v>
      </c>
      <c r="I303" s="1">
        <f t="shared" si="115"/>
        <v>0</v>
      </c>
    </row>
    <row r="304" spans="1:9" x14ac:dyDescent="0.25">
      <c r="A304" s="60" t="s">
        <v>742</v>
      </c>
      <c r="B304" t="str">
        <f t="shared" si="115"/>
        <v>MRT for Wastewater Treatment and Collection Systems</v>
      </c>
      <c r="C304" t="str">
        <f t="shared" si="115"/>
        <v>25-06840-002</v>
      </c>
      <c r="D304" s="1">
        <f t="shared" si="115"/>
        <v>0.25</v>
      </c>
      <c r="E304" s="1">
        <f t="shared" si="115"/>
        <v>0</v>
      </c>
      <c r="F304" s="1">
        <f t="shared" si="115"/>
        <v>0.25</v>
      </c>
      <c r="G304" s="1">
        <f t="shared" si="115"/>
        <v>0.25</v>
      </c>
      <c r="H304" s="1">
        <f t="shared" si="115"/>
        <v>0</v>
      </c>
      <c r="I304" s="1">
        <f t="shared" si="115"/>
        <v>0.25</v>
      </c>
    </row>
    <row r="305" spans="1:9" x14ac:dyDescent="0.25">
      <c r="A305" t="s">
        <v>287</v>
      </c>
      <c r="D305" s="1">
        <f>SUM(Table39101218212631333536[Max])</f>
        <v>1.3499999999999999</v>
      </c>
      <c r="E305" s="1">
        <f>SUM(Table39101218212631333536[W])</f>
        <v>0.7</v>
      </c>
      <c r="F305" s="1">
        <f>SUM(Table39101218212631333536[WW])</f>
        <v>0.7</v>
      </c>
      <c r="G305" s="1">
        <f>SUM(Table39101218212631333536[I])</f>
        <v>0.8</v>
      </c>
      <c r="H305" s="1">
        <f>SUM(Table39101218212631333536[D])</f>
        <v>0.45</v>
      </c>
      <c r="I305" s="1">
        <f>SUM(Table39101218212631333536[C])</f>
        <v>0.45</v>
      </c>
    </row>
    <row r="307" spans="1:9" x14ac:dyDescent="0.25">
      <c r="A307" s="6" t="s">
        <v>2315</v>
      </c>
      <c r="I307" s="61">
        <f>(D319-0.55)*10*20*0.9</f>
        <v>252</v>
      </c>
    </row>
    <row r="308" spans="1:9" x14ac:dyDescent="0.25">
      <c r="A308" t="s">
        <v>1956</v>
      </c>
      <c r="B308" t="s">
        <v>249</v>
      </c>
      <c r="C308" t="s">
        <v>1958</v>
      </c>
      <c r="D308" s="1" t="s">
        <v>1284</v>
      </c>
      <c r="E308" s="1" t="s">
        <v>22</v>
      </c>
      <c r="F308" s="1" t="s">
        <v>23</v>
      </c>
      <c r="G308" s="1" t="s">
        <v>26</v>
      </c>
      <c r="H308" s="1" t="s">
        <v>25</v>
      </c>
      <c r="I308" s="1" t="s">
        <v>24</v>
      </c>
    </row>
    <row r="309" spans="1:9" x14ac:dyDescent="0.25">
      <c r="A309" s="60" t="s">
        <v>52</v>
      </c>
      <c r="B309" t="str">
        <f t="shared" ref="B309:B318" si="116">LOOKUP($A309,$X:$X,Y:Y)</f>
        <v>Pumps</v>
      </c>
      <c r="C309" t="str">
        <f t="shared" ref="C309:C318" si="117">LOOKUP($A309,$X:$X,Z:Z)</f>
        <v>25-06046-002</v>
      </c>
      <c r="D309" s="1">
        <f t="shared" ref="D309:D318" si="118">LOOKUP($A309,$X:$X,AA:AA)</f>
        <v>0.2</v>
      </c>
      <c r="E309" s="1">
        <f t="shared" ref="E309:E318" si="119">LOOKUP($A309,$X:$X,AB:AB)</f>
        <v>0.2</v>
      </c>
      <c r="F309" s="1">
        <f t="shared" ref="F309:F318" si="120">LOOKUP($A309,$X:$X,AC:AC)</f>
        <v>0.2</v>
      </c>
      <c r="G309" s="1">
        <f t="shared" ref="G309:G318" si="121">LOOKUP($A309,$X:$X,AD:AD)</f>
        <v>0.2</v>
      </c>
      <c r="H309" s="1">
        <f t="shared" ref="H309:H318" si="122">LOOKUP($A309,$X:$X,AE:AE)</f>
        <v>0.2</v>
      </c>
      <c r="I309" s="1">
        <f t="shared" ref="I309:I318" si="123">LOOKUP($A309,$X:$X,AF:AF)</f>
        <v>0.2</v>
      </c>
    </row>
    <row r="310" spans="1:9" x14ac:dyDescent="0.25">
      <c r="A310" s="60" t="s">
        <v>60</v>
      </c>
      <c r="B310" t="str">
        <f t="shared" si="116"/>
        <v>Lift Stations</v>
      </c>
      <c r="C310" t="str">
        <f t="shared" si="117"/>
        <v>25-06003-001</v>
      </c>
      <c r="D310" s="1">
        <f t="shared" si="118"/>
        <v>0.2</v>
      </c>
      <c r="E310" s="1">
        <f t="shared" si="119"/>
        <v>0</v>
      </c>
      <c r="F310" s="1">
        <f t="shared" si="120"/>
        <v>0.2</v>
      </c>
      <c r="G310" s="1">
        <f t="shared" si="121"/>
        <v>0.2</v>
      </c>
      <c r="H310" s="1">
        <f t="shared" si="122"/>
        <v>0</v>
      </c>
      <c r="I310" s="1">
        <f t="shared" si="123"/>
        <v>0.2</v>
      </c>
    </row>
    <row r="311" spans="1:9" x14ac:dyDescent="0.25">
      <c r="A311" s="60" t="s">
        <v>499</v>
      </c>
      <c r="B311" t="str">
        <f t="shared" si="116"/>
        <v>Laboratory - Chlorine Residual by DPD</v>
      </c>
      <c r="C311" t="str">
        <f t="shared" si="117"/>
        <v>25-07709-001</v>
      </c>
      <c r="D311" s="1">
        <f t="shared" si="118"/>
        <v>0.05</v>
      </c>
      <c r="E311" s="1">
        <f t="shared" si="119"/>
        <v>0.05</v>
      </c>
      <c r="F311" s="1">
        <f t="shared" si="120"/>
        <v>0.05</v>
      </c>
      <c r="G311" s="1">
        <f t="shared" si="121"/>
        <v>0.05</v>
      </c>
      <c r="H311" s="1">
        <f t="shared" si="122"/>
        <v>0.05</v>
      </c>
      <c r="I311" s="1">
        <f t="shared" si="123"/>
        <v>0</v>
      </c>
    </row>
    <row r="312" spans="1:9" x14ac:dyDescent="0.25">
      <c r="A312" s="60" t="s">
        <v>90</v>
      </c>
      <c r="B312" t="str">
        <f t="shared" si="116"/>
        <v>Water Sources Part 1</v>
      </c>
      <c r="C312" t="str">
        <f t="shared" si="117"/>
        <v>25-06035-001</v>
      </c>
      <c r="D312" s="1">
        <f t="shared" si="118"/>
        <v>0.15</v>
      </c>
      <c r="E312" s="1">
        <f t="shared" si="119"/>
        <v>0.15</v>
      </c>
      <c r="F312" s="1">
        <f t="shared" si="120"/>
        <v>0</v>
      </c>
      <c r="G312" s="1">
        <f t="shared" si="121"/>
        <v>0</v>
      </c>
      <c r="H312" s="1">
        <f t="shared" si="122"/>
        <v>0.15</v>
      </c>
      <c r="I312" s="1">
        <f t="shared" si="123"/>
        <v>0</v>
      </c>
    </row>
    <row r="313" spans="1:9" x14ac:dyDescent="0.25">
      <c r="A313" s="60" t="s">
        <v>91</v>
      </c>
      <c r="B313" t="str">
        <f t="shared" si="116"/>
        <v>Water Sources Part 2</v>
      </c>
      <c r="C313" t="str">
        <f t="shared" si="117"/>
        <v>25-06036-001</v>
      </c>
      <c r="D313" s="1">
        <f t="shared" si="118"/>
        <v>0.1</v>
      </c>
      <c r="E313" s="1">
        <f t="shared" si="119"/>
        <v>0.1</v>
      </c>
      <c r="F313" s="1">
        <f t="shared" si="120"/>
        <v>0</v>
      </c>
      <c r="G313" s="1">
        <f t="shared" si="121"/>
        <v>0.1</v>
      </c>
      <c r="H313" s="1">
        <f t="shared" si="122"/>
        <v>0.1</v>
      </c>
      <c r="I313" s="1">
        <f t="shared" si="123"/>
        <v>0</v>
      </c>
    </row>
    <row r="314" spans="1:9" x14ac:dyDescent="0.25">
      <c r="A314" s="60" t="s">
        <v>92</v>
      </c>
      <c r="B314" t="str">
        <f t="shared" si="116"/>
        <v>Drinking Water Treatment Part 1</v>
      </c>
      <c r="C314" t="str">
        <f t="shared" si="117"/>
        <v>25-06037-001</v>
      </c>
      <c r="D314" s="1">
        <f t="shared" si="118"/>
        <v>0.25</v>
      </c>
      <c r="E314" s="1">
        <f t="shared" si="119"/>
        <v>0.25</v>
      </c>
      <c r="F314" s="1">
        <f t="shared" si="120"/>
        <v>0</v>
      </c>
      <c r="G314" s="1">
        <f t="shared" si="121"/>
        <v>0</v>
      </c>
      <c r="H314" s="1">
        <f t="shared" si="122"/>
        <v>0</v>
      </c>
      <c r="I314" s="1">
        <f t="shared" si="123"/>
        <v>0</v>
      </c>
    </row>
    <row r="315" spans="1:9" x14ac:dyDescent="0.25">
      <c r="A315" s="60" t="s">
        <v>93</v>
      </c>
      <c r="B315" t="str">
        <f t="shared" si="116"/>
        <v>Water Treatment Part 2 (Disinfection, Water Focus)</v>
      </c>
      <c r="C315" t="str">
        <f t="shared" si="117"/>
        <v>25-06038-001</v>
      </c>
      <c r="D315" s="1">
        <f t="shared" si="118"/>
        <v>0.25</v>
      </c>
      <c r="E315" s="1">
        <f t="shared" si="119"/>
        <v>0.25</v>
      </c>
      <c r="F315" s="1">
        <f t="shared" si="120"/>
        <v>0.25</v>
      </c>
      <c r="G315" s="1">
        <f t="shared" si="121"/>
        <v>0.25</v>
      </c>
      <c r="H315" s="1">
        <f t="shared" si="122"/>
        <v>0.25</v>
      </c>
      <c r="I315" s="1">
        <f t="shared" si="123"/>
        <v>0</v>
      </c>
    </row>
    <row r="316" spans="1:9" x14ac:dyDescent="0.25">
      <c r="A316" s="60" t="s">
        <v>95</v>
      </c>
      <c r="B316" t="str">
        <f t="shared" si="116"/>
        <v>MRT Drinking Water Regulatory Course</v>
      </c>
      <c r="C316" t="str">
        <f t="shared" si="117"/>
        <v>25-06743-002</v>
      </c>
      <c r="D316" s="1">
        <f t="shared" si="118"/>
        <v>0.3</v>
      </c>
      <c r="E316" s="1">
        <f t="shared" si="119"/>
        <v>0.3</v>
      </c>
      <c r="F316" s="1">
        <f t="shared" si="120"/>
        <v>0</v>
      </c>
      <c r="G316" s="1">
        <f t="shared" si="121"/>
        <v>0</v>
      </c>
      <c r="H316" s="1">
        <f t="shared" si="122"/>
        <v>0.3</v>
      </c>
      <c r="I316" s="1">
        <f t="shared" si="123"/>
        <v>0</v>
      </c>
    </row>
    <row r="317" spans="1:9" x14ac:dyDescent="0.25">
      <c r="A317" s="60" t="s">
        <v>68</v>
      </c>
      <c r="B317" t="str">
        <f t="shared" si="116"/>
        <v>Fixed Film: Trickling Filters and RBCs</v>
      </c>
      <c r="C317" t="str">
        <f t="shared" si="117"/>
        <v>25-06008-001</v>
      </c>
      <c r="D317" s="1">
        <f t="shared" si="118"/>
        <v>0.2</v>
      </c>
      <c r="E317" s="1">
        <f t="shared" si="119"/>
        <v>0</v>
      </c>
      <c r="F317" s="1">
        <f t="shared" si="120"/>
        <v>0.2</v>
      </c>
      <c r="G317" s="1">
        <f t="shared" si="121"/>
        <v>0.2</v>
      </c>
      <c r="H317" s="1">
        <f t="shared" si="122"/>
        <v>0</v>
      </c>
      <c r="I317" s="1">
        <f t="shared" si="123"/>
        <v>0</v>
      </c>
    </row>
    <row r="318" spans="1:9" x14ac:dyDescent="0.25">
      <c r="A318" s="60" t="s">
        <v>742</v>
      </c>
      <c r="B318" t="str">
        <f t="shared" si="116"/>
        <v>MRT for Wastewater Treatment and Collection Systems</v>
      </c>
      <c r="C318" t="str">
        <f t="shared" si="117"/>
        <v>25-06840-002</v>
      </c>
      <c r="D318" s="1">
        <f t="shared" si="118"/>
        <v>0.25</v>
      </c>
      <c r="E318" s="1">
        <f t="shared" si="119"/>
        <v>0</v>
      </c>
      <c r="F318" s="1">
        <f t="shared" si="120"/>
        <v>0.25</v>
      </c>
      <c r="G318" s="1">
        <f t="shared" si="121"/>
        <v>0.25</v>
      </c>
      <c r="H318" s="1">
        <f t="shared" si="122"/>
        <v>0</v>
      </c>
      <c r="I318" s="1">
        <f t="shared" si="123"/>
        <v>0.25</v>
      </c>
    </row>
    <row r="319" spans="1:9" x14ac:dyDescent="0.25">
      <c r="A319" t="s">
        <v>287</v>
      </c>
      <c r="D319" s="1">
        <f>SUM(Table3910121821263133353638[Max])</f>
        <v>1.95</v>
      </c>
      <c r="E319" s="1">
        <f>SUM(Table3910121821263133353638[W])</f>
        <v>1.3</v>
      </c>
      <c r="F319" s="1">
        <f>SUM(Table3910121821263133353638[WW])</f>
        <v>1.1499999999999999</v>
      </c>
      <c r="G319" s="1">
        <f>SUM(Table3910121821263133353638[I])</f>
        <v>1.25</v>
      </c>
      <c r="H319" s="1">
        <f>SUM(Table3910121821263133353638[D])</f>
        <v>1.05</v>
      </c>
      <c r="I319" s="1">
        <f>SUM(Table3910121821263133353638[C])</f>
        <v>0.65</v>
      </c>
    </row>
    <row r="321" spans="1:9" x14ac:dyDescent="0.25">
      <c r="A321" s="6" t="s">
        <v>2316</v>
      </c>
      <c r="I321" s="61">
        <f>(D338-0.55)*10*20*0.9+1</f>
        <v>361</v>
      </c>
    </row>
    <row r="322" spans="1:9" x14ac:dyDescent="0.25">
      <c r="A322" t="s">
        <v>1956</v>
      </c>
      <c r="B322" t="s">
        <v>249</v>
      </c>
      <c r="C322" t="s">
        <v>1958</v>
      </c>
      <c r="D322" s="1" t="s">
        <v>1284</v>
      </c>
      <c r="E322" s="1" t="s">
        <v>22</v>
      </c>
      <c r="F322" s="1" t="s">
        <v>23</v>
      </c>
      <c r="G322" s="1" t="s">
        <v>26</v>
      </c>
      <c r="H322" s="1" t="s">
        <v>25</v>
      </c>
      <c r="I322" s="1" t="s">
        <v>24</v>
      </c>
    </row>
    <row r="323" spans="1:9" x14ac:dyDescent="0.25">
      <c r="A323" s="60" t="s">
        <v>52</v>
      </c>
      <c r="B323" t="str">
        <f t="shared" ref="B323:B337" si="124">LOOKUP($A323,$X:$X,Y:Y)</f>
        <v>Pumps</v>
      </c>
      <c r="C323" t="str">
        <f t="shared" ref="C323:C337" si="125">LOOKUP($A323,$X:$X,Z:Z)</f>
        <v>25-06046-002</v>
      </c>
      <c r="D323" s="1">
        <f t="shared" ref="D323:D337" si="126">LOOKUP($A323,$X:$X,AA:AA)</f>
        <v>0.2</v>
      </c>
      <c r="E323" s="1">
        <f t="shared" ref="E323:E337" si="127">LOOKUP($A323,$X:$X,AB:AB)</f>
        <v>0.2</v>
      </c>
      <c r="F323" s="1">
        <f t="shared" ref="F323:F337" si="128">LOOKUP($A323,$X:$X,AC:AC)</f>
        <v>0.2</v>
      </c>
      <c r="G323" s="1">
        <f t="shared" ref="G323:G337" si="129">LOOKUP($A323,$X:$X,AD:AD)</f>
        <v>0.2</v>
      </c>
      <c r="H323" s="1">
        <f t="shared" ref="H323:H337" si="130">LOOKUP($A323,$X:$X,AE:AE)</f>
        <v>0.2</v>
      </c>
      <c r="I323" s="1">
        <f t="shared" ref="I323:I337" si="131">LOOKUP($A323,$X:$X,AF:AF)</f>
        <v>0.2</v>
      </c>
    </row>
    <row r="324" spans="1:9" x14ac:dyDescent="0.25">
      <c r="A324" s="60" t="s">
        <v>1056</v>
      </c>
      <c r="B324" t="str">
        <f t="shared" si="124"/>
        <v>Backflow Preventers</v>
      </c>
      <c r="C324" t="str">
        <f t="shared" si="125"/>
        <v>25-08959-001</v>
      </c>
      <c r="D324" s="1">
        <f t="shared" si="126"/>
        <v>0.05</v>
      </c>
      <c r="E324" s="1">
        <f t="shared" si="127"/>
        <v>0.05</v>
      </c>
      <c r="F324" s="1">
        <f t="shared" si="128"/>
        <v>0.05</v>
      </c>
      <c r="G324" s="1">
        <f t="shared" si="129"/>
        <v>0.05</v>
      </c>
      <c r="H324" s="1">
        <f t="shared" si="130"/>
        <v>0.05</v>
      </c>
      <c r="I324" s="1">
        <f t="shared" si="131"/>
        <v>0.05</v>
      </c>
    </row>
    <row r="325" spans="1:9" x14ac:dyDescent="0.25">
      <c r="A325" s="60" t="s">
        <v>60</v>
      </c>
      <c r="B325" t="str">
        <f t="shared" si="124"/>
        <v>Lift Stations</v>
      </c>
      <c r="C325" t="str">
        <f t="shared" si="125"/>
        <v>25-06003-001</v>
      </c>
      <c r="D325" s="1">
        <f t="shared" si="126"/>
        <v>0.2</v>
      </c>
      <c r="E325" s="1">
        <f t="shared" si="127"/>
        <v>0</v>
      </c>
      <c r="F325" s="1">
        <f t="shared" si="128"/>
        <v>0.2</v>
      </c>
      <c r="G325" s="1">
        <f t="shared" si="129"/>
        <v>0.2</v>
      </c>
      <c r="H325" s="1">
        <f t="shared" si="130"/>
        <v>0</v>
      </c>
      <c r="I325" s="1">
        <f t="shared" si="131"/>
        <v>0.2</v>
      </c>
    </row>
    <row r="326" spans="1:9" x14ac:dyDescent="0.25">
      <c r="A326" s="60" t="s">
        <v>499</v>
      </c>
      <c r="B326" t="str">
        <f t="shared" si="124"/>
        <v>Laboratory - Chlorine Residual by DPD</v>
      </c>
      <c r="C326" t="str">
        <f t="shared" si="125"/>
        <v>25-07709-001</v>
      </c>
      <c r="D326" s="1">
        <f t="shared" si="126"/>
        <v>0.05</v>
      </c>
      <c r="E326" s="1">
        <f t="shared" si="127"/>
        <v>0.05</v>
      </c>
      <c r="F326" s="1">
        <f t="shared" si="128"/>
        <v>0.05</v>
      </c>
      <c r="G326" s="1">
        <f t="shared" si="129"/>
        <v>0.05</v>
      </c>
      <c r="H326" s="1">
        <f t="shared" si="130"/>
        <v>0.05</v>
      </c>
      <c r="I326" s="1">
        <f t="shared" si="131"/>
        <v>0</v>
      </c>
    </row>
    <row r="327" spans="1:9" x14ac:dyDescent="0.25">
      <c r="A327" s="60" t="s">
        <v>90</v>
      </c>
      <c r="B327" t="str">
        <f t="shared" si="124"/>
        <v>Water Sources Part 1</v>
      </c>
      <c r="C327" t="str">
        <f t="shared" si="125"/>
        <v>25-06035-001</v>
      </c>
      <c r="D327" s="1">
        <f t="shared" si="126"/>
        <v>0.15</v>
      </c>
      <c r="E327" s="1">
        <f t="shared" si="127"/>
        <v>0.15</v>
      </c>
      <c r="F327" s="1">
        <f t="shared" si="128"/>
        <v>0</v>
      </c>
      <c r="G327" s="1">
        <f t="shared" si="129"/>
        <v>0</v>
      </c>
      <c r="H327" s="1">
        <f t="shared" si="130"/>
        <v>0.15</v>
      </c>
      <c r="I327" s="1">
        <f t="shared" si="131"/>
        <v>0</v>
      </c>
    </row>
    <row r="328" spans="1:9" x14ac:dyDescent="0.25">
      <c r="A328" s="60" t="s">
        <v>91</v>
      </c>
      <c r="B328" t="str">
        <f t="shared" si="124"/>
        <v>Water Sources Part 2</v>
      </c>
      <c r="C328" t="str">
        <f t="shared" si="125"/>
        <v>25-06036-001</v>
      </c>
      <c r="D328" s="1">
        <f t="shared" si="126"/>
        <v>0.1</v>
      </c>
      <c r="E328" s="1">
        <f t="shared" si="127"/>
        <v>0.1</v>
      </c>
      <c r="F328" s="1">
        <f t="shared" si="128"/>
        <v>0</v>
      </c>
      <c r="G328" s="1">
        <f t="shared" si="129"/>
        <v>0.1</v>
      </c>
      <c r="H328" s="1">
        <f t="shared" si="130"/>
        <v>0.1</v>
      </c>
      <c r="I328" s="1">
        <f t="shared" si="131"/>
        <v>0</v>
      </c>
    </row>
    <row r="329" spans="1:9" x14ac:dyDescent="0.25">
      <c r="A329" s="60" t="s">
        <v>92</v>
      </c>
      <c r="B329" t="str">
        <f t="shared" si="124"/>
        <v>Drinking Water Treatment Part 1</v>
      </c>
      <c r="C329" t="str">
        <f t="shared" si="125"/>
        <v>25-06037-001</v>
      </c>
      <c r="D329" s="1">
        <f t="shared" si="126"/>
        <v>0.25</v>
      </c>
      <c r="E329" s="1">
        <f t="shared" si="127"/>
        <v>0.25</v>
      </c>
      <c r="F329" s="1">
        <f t="shared" si="128"/>
        <v>0</v>
      </c>
      <c r="G329" s="1">
        <f t="shared" si="129"/>
        <v>0</v>
      </c>
      <c r="H329" s="1">
        <f t="shared" si="130"/>
        <v>0</v>
      </c>
      <c r="I329" s="1">
        <f t="shared" si="131"/>
        <v>0</v>
      </c>
    </row>
    <row r="330" spans="1:9" x14ac:dyDescent="0.25">
      <c r="A330" s="60" t="s">
        <v>93</v>
      </c>
      <c r="B330" t="str">
        <f t="shared" si="124"/>
        <v>Water Treatment Part 2 (Disinfection, Water Focus)</v>
      </c>
      <c r="C330" t="str">
        <f t="shared" si="125"/>
        <v>25-06038-001</v>
      </c>
      <c r="D330" s="1">
        <f t="shared" si="126"/>
        <v>0.25</v>
      </c>
      <c r="E330" s="1">
        <f t="shared" si="127"/>
        <v>0.25</v>
      </c>
      <c r="F330" s="1">
        <f t="shared" si="128"/>
        <v>0.25</v>
      </c>
      <c r="G330" s="1">
        <f t="shared" si="129"/>
        <v>0.25</v>
      </c>
      <c r="H330" s="1">
        <f t="shared" si="130"/>
        <v>0.25</v>
      </c>
      <c r="I330" s="1">
        <f t="shared" si="131"/>
        <v>0</v>
      </c>
    </row>
    <row r="331" spans="1:9" x14ac:dyDescent="0.25">
      <c r="A331" s="60" t="s">
        <v>95</v>
      </c>
      <c r="B331" t="str">
        <f t="shared" si="124"/>
        <v>MRT Drinking Water Regulatory Course</v>
      </c>
      <c r="C331" t="str">
        <f t="shared" si="125"/>
        <v>25-06743-002</v>
      </c>
      <c r="D331" s="1">
        <f t="shared" si="126"/>
        <v>0.3</v>
      </c>
      <c r="E331" s="1">
        <f t="shared" si="127"/>
        <v>0.3</v>
      </c>
      <c r="F331" s="1">
        <f t="shared" si="128"/>
        <v>0</v>
      </c>
      <c r="G331" s="1">
        <f t="shared" si="129"/>
        <v>0</v>
      </c>
      <c r="H331" s="1">
        <f t="shared" si="130"/>
        <v>0.3</v>
      </c>
      <c r="I331" s="1">
        <f t="shared" si="131"/>
        <v>0</v>
      </c>
    </row>
    <row r="332" spans="1:9" x14ac:dyDescent="0.25">
      <c r="A332" s="60" t="s">
        <v>68</v>
      </c>
      <c r="B332" t="str">
        <f t="shared" si="124"/>
        <v>Fixed Film: Trickling Filters and RBCs</v>
      </c>
      <c r="C332" t="str">
        <f t="shared" si="125"/>
        <v>25-06008-001</v>
      </c>
      <c r="D332" s="1">
        <f t="shared" si="126"/>
        <v>0.2</v>
      </c>
      <c r="E332" s="1">
        <f t="shared" si="127"/>
        <v>0</v>
      </c>
      <c r="F332" s="1">
        <f t="shared" si="128"/>
        <v>0.2</v>
      </c>
      <c r="G332" s="1">
        <f t="shared" si="129"/>
        <v>0.2</v>
      </c>
      <c r="H332" s="1">
        <f t="shared" si="130"/>
        <v>0</v>
      </c>
      <c r="I332" s="1">
        <f t="shared" si="131"/>
        <v>0</v>
      </c>
    </row>
    <row r="333" spans="1:9" x14ac:dyDescent="0.25">
      <c r="A333" s="60" t="s">
        <v>73</v>
      </c>
      <c r="B333" t="str">
        <f t="shared" si="124"/>
        <v>Top 10 Questions for Activated Sludge Process Control</v>
      </c>
      <c r="C333" t="str">
        <f t="shared" si="125"/>
        <v>25-07727-001</v>
      </c>
      <c r="D333" s="1">
        <f t="shared" si="126"/>
        <v>0.25</v>
      </c>
      <c r="E333" s="1">
        <f t="shared" si="127"/>
        <v>0</v>
      </c>
      <c r="F333" s="1">
        <f t="shared" si="128"/>
        <v>0.25</v>
      </c>
      <c r="G333" s="1">
        <f t="shared" si="129"/>
        <v>0.25</v>
      </c>
      <c r="H333" s="1">
        <f t="shared" si="130"/>
        <v>0</v>
      </c>
      <c r="I333" s="1">
        <f t="shared" si="131"/>
        <v>0</v>
      </c>
    </row>
    <row r="334" spans="1:9" x14ac:dyDescent="0.25">
      <c r="A334" s="60" t="s">
        <v>939</v>
      </c>
      <c r="B334" t="str">
        <f t="shared" si="124"/>
        <v>Activated Sludge Microbiology: A View Beneath the Surface</v>
      </c>
      <c r="C334" t="str">
        <f t="shared" si="125"/>
        <v>25-08900-001</v>
      </c>
      <c r="D334" s="1">
        <f t="shared" si="126"/>
        <v>0.1</v>
      </c>
      <c r="E334" s="1">
        <f t="shared" si="127"/>
        <v>0</v>
      </c>
      <c r="F334" s="1">
        <f t="shared" si="128"/>
        <v>0.1</v>
      </c>
      <c r="G334" s="1">
        <f t="shared" si="129"/>
        <v>0.1</v>
      </c>
      <c r="H334" s="1">
        <f t="shared" si="130"/>
        <v>0</v>
      </c>
      <c r="I334" s="1">
        <f t="shared" si="131"/>
        <v>0</v>
      </c>
    </row>
    <row r="335" spans="1:9" x14ac:dyDescent="0.25">
      <c r="A335" s="60" t="s">
        <v>940</v>
      </c>
      <c r="B335" t="str">
        <f t="shared" si="124"/>
        <v>Activated Sludge Microbiology: Microscope Basics and the Micro Exam</v>
      </c>
      <c r="C335" t="str">
        <f t="shared" si="125"/>
        <v>25-08901-001</v>
      </c>
      <c r="D335" s="1">
        <f t="shared" si="126"/>
        <v>0.1</v>
      </c>
      <c r="E335" s="1">
        <f t="shared" si="127"/>
        <v>0</v>
      </c>
      <c r="F335" s="1">
        <f t="shared" si="128"/>
        <v>0.1</v>
      </c>
      <c r="G335" s="1">
        <f t="shared" si="129"/>
        <v>0.1</v>
      </c>
      <c r="H335" s="1">
        <f t="shared" si="130"/>
        <v>0</v>
      </c>
      <c r="I335" s="1">
        <f t="shared" si="131"/>
        <v>0</v>
      </c>
    </row>
    <row r="336" spans="1:9" x14ac:dyDescent="0.25">
      <c r="A336" s="60" t="s">
        <v>74</v>
      </c>
      <c r="B336" t="str">
        <f t="shared" si="124"/>
        <v>Activated Sludge Microbiology: Filaments and Settling Problems</v>
      </c>
      <c r="C336" t="str">
        <f t="shared" si="125"/>
        <v>25-08902-001</v>
      </c>
      <c r="D336" s="1">
        <f t="shared" si="126"/>
        <v>0.1</v>
      </c>
      <c r="E336" s="1">
        <f t="shared" si="127"/>
        <v>0</v>
      </c>
      <c r="F336" s="1">
        <f t="shared" si="128"/>
        <v>0.1</v>
      </c>
      <c r="G336" s="1">
        <f t="shared" si="129"/>
        <v>0.1</v>
      </c>
      <c r="H336" s="1">
        <f t="shared" si="130"/>
        <v>0</v>
      </c>
      <c r="I336" s="1">
        <f t="shared" si="131"/>
        <v>0</v>
      </c>
    </row>
    <row r="337" spans="1:9" x14ac:dyDescent="0.25">
      <c r="A337" s="60" t="s">
        <v>742</v>
      </c>
      <c r="B337" t="str">
        <f t="shared" si="124"/>
        <v>MRT for Wastewater Treatment and Collection Systems</v>
      </c>
      <c r="C337" t="str">
        <f t="shared" si="125"/>
        <v>25-06840-002</v>
      </c>
      <c r="D337" s="1">
        <f t="shared" si="126"/>
        <v>0.25</v>
      </c>
      <c r="E337" s="1">
        <f t="shared" si="127"/>
        <v>0</v>
      </c>
      <c r="F337" s="1">
        <f t="shared" si="128"/>
        <v>0.25</v>
      </c>
      <c r="G337" s="1">
        <f t="shared" si="129"/>
        <v>0.25</v>
      </c>
      <c r="H337" s="1">
        <f t="shared" si="130"/>
        <v>0</v>
      </c>
      <c r="I337" s="1">
        <f t="shared" si="131"/>
        <v>0.25</v>
      </c>
    </row>
    <row r="338" spans="1:9" x14ac:dyDescent="0.25">
      <c r="A338" t="s">
        <v>287</v>
      </c>
      <c r="D338" s="1">
        <f>SUM(Table3910121821263133353639[Max])</f>
        <v>2.5500000000000003</v>
      </c>
      <c r="E338" s="1">
        <f>SUM(Table3910121821263133353639[W])</f>
        <v>1.3499999999999999</v>
      </c>
      <c r="F338" s="1">
        <f>SUM(Table3910121821263133353639[WW])</f>
        <v>1.7500000000000002</v>
      </c>
      <c r="G338" s="1">
        <f>SUM(Table3910121821263133353639[I])</f>
        <v>1.8500000000000003</v>
      </c>
      <c r="H338" s="1">
        <f>SUM(Table3910121821263133353639[D])</f>
        <v>1.0999999999999999</v>
      </c>
      <c r="I338" s="1">
        <f>SUM(Table3910121821263133353639[C])</f>
        <v>0.7</v>
      </c>
    </row>
    <row r="340" spans="1:9" x14ac:dyDescent="0.25">
      <c r="A340" s="6" t="s">
        <v>2317</v>
      </c>
      <c r="I340" s="61">
        <f>(D360-0.55)*10*20*0.9+1</f>
        <v>451.00000000000011</v>
      </c>
    </row>
    <row r="341" spans="1:9" x14ac:dyDescent="0.25">
      <c r="A341" t="s">
        <v>1956</v>
      </c>
      <c r="B341" t="s">
        <v>249</v>
      </c>
      <c r="C341" t="s">
        <v>1958</v>
      </c>
      <c r="D341" s="1" t="s">
        <v>1284</v>
      </c>
      <c r="E341" s="1" t="s">
        <v>22</v>
      </c>
      <c r="F341" s="1" t="s">
        <v>23</v>
      </c>
      <c r="G341" s="1" t="s">
        <v>26</v>
      </c>
      <c r="H341" s="1" t="s">
        <v>25</v>
      </c>
      <c r="I341" s="1" t="s">
        <v>24</v>
      </c>
    </row>
    <row r="342" spans="1:9" x14ac:dyDescent="0.25">
      <c r="A342" s="60" t="s">
        <v>52</v>
      </c>
      <c r="B342" t="str">
        <f t="shared" ref="B342:B359" si="132">LOOKUP($A342,$X:$X,Y:Y)</f>
        <v>Pumps</v>
      </c>
      <c r="C342" t="str">
        <f t="shared" ref="C342:C359" si="133">LOOKUP($A342,$X:$X,Z:Z)</f>
        <v>25-06046-002</v>
      </c>
      <c r="D342" s="1">
        <f t="shared" ref="D342:D359" si="134">LOOKUP($A342,$X:$X,AA:AA)</f>
        <v>0.2</v>
      </c>
      <c r="E342" s="1">
        <f t="shared" ref="E342:E359" si="135">LOOKUP($A342,$X:$X,AB:AB)</f>
        <v>0.2</v>
      </c>
      <c r="F342" s="1">
        <f t="shared" ref="F342:F359" si="136">LOOKUP($A342,$X:$X,AC:AC)</f>
        <v>0.2</v>
      </c>
      <c r="G342" s="1">
        <f t="shared" ref="G342:G359" si="137">LOOKUP($A342,$X:$X,AD:AD)</f>
        <v>0.2</v>
      </c>
      <c r="H342" s="1">
        <f t="shared" ref="H342:H359" si="138">LOOKUP($A342,$X:$X,AE:AE)</f>
        <v>0.2</v>
      </c>
      <c r="I342" s="1">
        <f t="shared" ref="I342:I359" si="139">LOOKUP($A342,$X:$X,AF:AF)</f>
        <v>0.2</v>
      </c>
    </row>
    <row r="343" spans="1:9" x14ac:dyDescent="0.25">
      <c r="A343" s="60" t="s">
        <v>489</v>
      </c>
      <c r="B343" t="str">
        <f t="shared" si="132"/>
        <v>Maintenance</v>
      </c>
      <c r="C343" t="str">
        <f t="shared" si="133"/>
        <v>25-05993-001</v>
      </c>
      <c r="D343" s="1">
        <f t="shared" si="134"/>
        <v>0.15</v>
      </c>
      <c r="E343" s="1">
        <f t="shared" si="135"/>
        <v>0.15</v>
      </c>
      <c r="F343" s="1">
        <f t="shared" si="136"/>
        <v>0.15</v>
      </c>
      <c r="G343" s="1">
        <f t="shared" si="137"/>
        <v>0.15</v>
      </c>
      <c r="H343" s="1">
        <f t="shared" si="138"/>
        <v>0.15</v>
      </c>
      <c r="I343" s="1">
        <f t="shared" si="139"/>
        <v>0.15</v>
      </c>
    </row>
    <row r="344" spans="1:9" x14ac:dyDescent="0.25">
      <c r="A344" s="60" t="s">
        <v>490</v>
      </c>
      <c r="B344" t="str">
        <f t="shared" si="132"/>
        <v>Disinfection Byproducts</v>
      </c>
      <c r="C344" t="str">
        <f t="shared" si="133"/>
        <v>25-05996-001</v>
      </c>
      <c r="D344" s="1">
        <f t="shared" si="134"/>
        <v>0.15</v>
      </c>
      <c r="E344" s="1">
        <f t="shared" si="135"/>
        <v>0.15</v>
      </c>
      <c r="F344" s="1">
        <f t="shared" si="136"/>
        <v>0</v>
      </c>
      <c r="G344" s="1">
        <f t="shared" si="137"/>
        <v>0</v>
      </c>
      <c r="H344" s="1">
        <f t="shared" si="138"/>
        <v>0.15</v>
      </c>
      <c r="I344" s="1">
        <f t="shared" si="139"/>
        <v>0</v>
      </c>
    </row>
    <row r="345" spans="1:9" x14ac:dyDescent="0.25">
      <c r="A345" s="60" t="s">
        <v>1056</v>
      </c>
      <c r="B345" t="str">
        <f t="shared" si="132"/>
        <v>Backflow Preventers</v>
      </c>
      <c r="C345" t="str">
        <f t="shared" si="133"/>
        <v>25-08959-001</v>
      </c>
      <c r="D345" s="1">
        <f t="shared" si="134"/>
        <v>0.05</v>
      </c>
      <c r="E345" s="1">
        <f t="shared" si="135"/>
        <v>0.05</v>
      </c>
      <c r="F345" s="1">
        <f t="shared" si="136"/>
        <v>0.05</v>
      </c>
      <c r="G345" s="1">
        <f t="shared" si="137"/>
        <v>0.05</v>
      </c>
      <c r="H345" s="1">
        <f t="shared" si="138"/>
        <v>0.05</v>
      </c>
      <c r="I345" s="1">
        <f t="shared" si="139"/>
        <v>0.05</v>
      </c>
    </row>
    <row r="346" spans="1:9" x14ac:dyDescent="0.25">
      <c r="A346" s="60" t="s">
        <v>60</v>
      </c>
      <c r="B346" t="str">
        <f t="shared" si="132"/>
        <v>Lift Stations</v>
      </c>
      <c r="C346" t="str">
        <f t="shared" si="133"/>
        <v>25-06003-001</v>
      </c>
      <c r="D346" s="1">
        <f t="shared" si="134"/>
        <v>0.2</v>
      </c>
      <c r="E346" s="1">
        <f t="shared" si="135"/>
        <v>0</v>
      </c>
      <c r="F346" s="1">
        <f t="shared" si="136"/>
        <v>0.2</v>
      </c>
      <c r="G346" s="1">
        <f t="shared" si="137"/>
        <v>0.2</v>
      </c>
      <c r="H346" s="1">
        <f t="shared" si="138"/>
        <v>0</v>
      </c>
      <c r="I346" s="1">
        <f t="shared" si="139"/>
        <v>0.2</v>
      </c>
    </row>
    <row r="347" spans="1:9" x14ac:dyDescent="0.25">
      <c r="A347" s="60" t="s">
        <v>499</v>
      </c>
      <c r="B347" t="str">
        <f t="shared" si="132"/>
        <v>Laboratory - Chlorine Residual by DPD</v>
      </c>
      <c r="C347" t="str">
        <f t="shared" si="133"/>
        <v>25-07709-001</v>
      </c>
      <c r="D347" s="1">
        <f t="shared" si="134"/>
        <v>0.05</v>
      </c>
      <c r="E347" s="1">
        <f t="shared" si="135"/>
        <v>0.05</v>
      </c>
      <c r="F347" s="1">
        <f t="shared" si="136"/>
        <v>0.05</v>
      </c>
      <c r="G347" s="1">
        <f t="shared" si="137"/>
        <v>0.05</v>
      </c>
      <c r="H347" s="1">
        <f t="shared" si="138"/>
        <v>0.05</v>
      </c>
      <c r="I347" s="1">
        <f t="shared" si="139"/>
        <v>0</v>
      </c>
    </row>
    <row r="348" spans="1:9" x14ac:dyDescent="0.25">
      <c r="A348" s="60" t="s">
        <v>90</v>
      </c>
      <c r="B348" t="str">
        <f t="shared" si="132"/>
        <v>Water Sources Part 1</v>
      </c>
      <c r="C348" t="str">
        <f t="shared" si="133"/>
        <v>25-06035-001</v>
      </c>
      <c r="D348" s="1">
        <f t="shared" si="134"/>
        <v>0.15</v>
      </c>
      <c r="E348" s="1">
        <f t="shared" si="135"/>
        <v>0.15</v>
      </c>
      <c r="F348" s="1">
        <f t="shared" si="136"/>
        <v>0</v>
      </c>
      <c r="G348" s="1">
        <f t="shared" si="137"/>
        <v>0</v>
      </c>
      <c r="H348" s="1">
        <f t="shared" si="138"/>
        <v>0.15</v>
      </c>
      <c r="I348" s="1">
        <f t="shared" si="139"/>
        <v>0</v>
      </c>
    </row>
    <row r="349" spans="1:9" x14ac:dyDescent="0.25">
      <c r="A349" s="60" t="s">
        <v>91</v>
      </c>
      <c r="B349" t="str">
        <f t="shared" si="132"/>
        <v>Water Sources Part 2</v>
      </c>
      <c r="C349" t="str">
        <f t="shared" si="133"/>
        <v>25-06036-001</v>
      </c>
      <c r="D349" s="1">
        <f t="shared" si="134"/>
        <v>0.1</v>
      </c>
      <c r="E349" s="1">
        <f t="shared" si="135"/>
        <v>0.1</v>
      </c>
      <c r="F349" s="1">
        <f t="shared" si="136"/>
        <v>0</v>
      </c>
      <c r="G349" s="1">
        <f t="shared" si="137"/>
        <v>0.1</v>
      </c>
      <c r="H349" s="1">
        <f t="shared" si="138"/>
        <v>0.1</v>
      </c>
      <c r="I349" s="1">
        <f t="shared" si="139"/>
        <v>0</v>
      </c>
    </row>
    <row r="350" spans="1:9" x14ac:dyDescent="0.25">
      <c r="A350" s="60" t="s">
        <v>92</v>
      </c>
      <c r="B350" t="str">
        <f t="shared" si="132"/>
        <v>Drinking Water Treatment Part 1</v>
      </c>
      <c r="C350" t="str">
        <f t="shared" si="133"/>
        <v>25-06037-001</v>
      </c>
      <c r="D350" s="1">
        <f t="shared" si="134"/>
        <v>0.25</v>
      </c>
      <c r="E350" s="1">
        <f t="shared" si="135"/>
        <v>0.25</v>
      </c>
      <c r="F350" s="1">
        <f t="shared" si="136"/>
        <v>0</v>
      </c>
      <c r="G350" s="1">
        <f t="shared" si="137"/>
        <v>0</v>
      </c>
      <c r="H350" s="1">
        <f t="shared" si="138"/>
        <v>0</v>
      </c>
      <c r="I350" s="1">
        <f t="shared" si="139"/>
        <v>0</v>
      </c>
    </row>
    <row r="351" spans="1:9" x14ac:dyDescent="0.25">
      <c r="A351" s="60" t="s">
        <v>93</v>
      </c>
      <c r="B351" t="str">
        <f t="shared" si="132"/>
        <v>Water Treatment Part 2 (Disinfection, Water Focus)</v>
      </c>
      <c r="C351" t="str">
        <f t="shared" si="133"/>
        <v>25-06038-001</v>
      </c>
      <c r="D351" s="1">
        <f t="shared" si="134"/>
        <v>0.25</v>
      </c>
      <c r="E351" s="1">
        <f t="shared" si="135"/>
        <v>0.25</v>
      </c>
      <c r="F351" s="1">
        <f t="shared" si="136"/>
        <v>0.25</v>
      </c>
      <c r="G351" s="1">
        <f t="shared" si="137"/>
        <v>0.25</v>
      </c>
      <c r="H351" s="1">
        <f t="shared" si="138"/>
        <v>0.25</v>
      </c>
      <c r="I351" s="1">
        <f t="shared" si="139"/>
        <v>0</v>
      </c>
    </row>
    <row r="352" spans="1:9" x14ac:dyDescent="0.25">
      <c r="A352" s="60" t="s">
        <v>95</v>
      </c>
      <c r="B352" t="str">
        <f t="shared" si="132"/>
        <v>MRT Drinking Water Regulatory Course</v>
      </c>
      <c r="C352" t="str">
        <f t="shared" si="133"/>
        <v>25-06743-002</v>
      </c>
      <c r="D352" s="1">
        <f t="shared" si="134"/>
        <v>0.3</v>
      </c>
      <c r="E352" s="1">
        <f t="shared" si="135"/>
        <v>0.3</v>
      </c>
      <c r="F352" s="1">
        <f t="shared" si="136"/>
        <v>0</v>
      </c>
      <c r="G352" s="1">
        <f t="shared" si="137"/>
        <v>0</v>
      </c>
      <c r="H352" s="1">
        <f t="shared" si="138"/>
        <v>0.3</v>
      </c>
      <c r="I352" s="1">
        <f t="shared" si="139"/>
        <v>0</v>
      </c>
    </row>
    <row r="353" spans="1:9" x14ac:dyDescent="0.25">
      <c r="A353" s="60" t="s">
        <v>68</v>
      </c>
      <c r="B353" t="str">
        <f t="shared" si="132"/>
        <v>Fixed Film: Trickling Filters and RBCs</v>
      </c>
      <c r="C353" t="str">
        <f t="shared" si="133"/>
        <v>25-06008-001</v>
      </c>
      <c r="D353" s="1">
        <f t="shared" si="134"/>
        <v>0.2</v>
      </c>
      <c r="E353" s="1">
        <f t="shared" si="135"/>
        <v>0</v>
      </c>
      <c r="F353" s="1">
        <f t="shared" si="136"/>
        <v>0.2</v>
      </c>
      <c r="G353" s="1">
        <f t="shared" si="137"/>
        <v>0.2</v>
      </c>
      <c r="H353" s="1">
        <f t="shared" si="138"/>
        <v>0</v>
      </c>
      <c r="I353" s="1">
        <f t="shared" si="139"/>
        <v>0</v>
      </c>
    </row>
    <row r="354" spans="1:9" x14ac:dyDescent="0.25">
      <c r="A354" s="60" t="s">
        <v>1793</v>
      </c>
      <c r="B354" t="str">
        <f t="shared" si="132"/>
        <v>Wastewater Treatment Lagoons</v>
      </c>
      <c r="C354" t="str">
        <f t="shared" si="133"/>
        <v>25-10618-001</v>
      </c>
      <c r="D354" s="1">
        <f t="shared" si="134"/>
        <v>0.2</v>
      </c>
      <c r="E354" s="1">
        <f t="shared" si="135"/>
        <v>0</v>
      </c>
      <c r="F354" s="1">
        <f t="shared" si="136"/>
        <v>0.2</v>
      </c>
      <c r="G354" s="1">
        <f t="shared" si="137"/>
        <v>0.2</v>
      </c>
      <c r="H354" s="1">
        <f t="shared" si="138"/>
        <v>0</v>
      </c>
      <c r="I354" s="1">
        <f t="shared" si="139"/>
        <v>0</v>
      </c>
    </row>
    <row r="355" spans="1:9" x14ac:dyDescent="0.25">
      <c r="A355" s="60" t="s">
        <v>73</v>
      </c>
      <c r="B355" t="str">
        <f t="shared" si="132"/>
        <v>Top 10 Questions for Activated Sludge Process Control</v>
      </c>
      <c r="C355" t="str">
        <f t="shared" si="133"/>
        <v>25-07727-001</v>
      </c>
      <c r="D355" s="1">
        <f t="shared" si="134"/>
        <v>0.25</v>
      </c>
      <c r="E355" s="1">
        <f t="shared" si="135"/>
        <v>0</v>
      </c>
      <c r="F355" s="1">
        <f t="shared" si="136"/>
        <v>0.25</v>
      </c>
      <c r="G355" s="1">
        <f t="shared" si="137"/>
        <v>0.25</v>
      </c>
      <c r="H355" s="1">
        <f t="shared" si="138"/>
        <v>0</v>
      </c>
      <c r="I355" s="1">
        <f t="shared" si="139"/>
        <v>0</v>
      </c>
    </row>
    <row r="356" spans="1:9" x14ac:dyDescent="0.25">
      <c r="A356" s="60" t="s">
        <v>939</v>
      </c>
      <c r="B356" t="str">
        <f t="shared" si="132"/>
        <v>Activated Sludge Microbiology: A View Beneath the Surface</v>
      </c>
      <c r="C356" t="str">
        <f t="shared" si="133"/>
        <v>25-08900-001</v>
      </c>
      <c r="D356" s="1">
        <f t="shared" si="134"/>
        <v>0.1</v>
      </c>
      <c r="E356" s="1">
        <f t="shared" si="135"/>
        <v>0</v>
      </c>
      <c r="F356" s="1">
        <f t="shared" si="136"/>
        <v>0.1</v>
      </c>
      <c r="G356" s="1">
        <f t="shared" si="137"/>
        <v>0.1</v>
      </c>
      <c r="H356" s="1">
        <f t="shared" si="138"/>
        <v>0</v>
      </c>
      <c r="I356" s="1">
        <f t="shared" si="139"/>
        <v>0</v>
      </c>
    </row>
    <row r="357" spans="1:9" x14ac:dyDescent="0.25">
      <c r="A357" s="60" t="s">
        <v>940</v>
      </c>
      <c r="B357" t="str">
        <f t="shared" si="132"/>
        <v>Activated Sludge Microbiology: Microscope Basics and the Micro Exam</v>
      </c>
      <c r="C357" t="str">
        <f t="shared" si="133"/>
        <v>25-08901-001</v>
      </c>
      <c r="D357" s="1">
        <f t="shared" si="134"/>
        <v>0.1</v>
      </c>
      <c r="E357" s="1">
        <f t="shared" si="135"/>
        <v>0</v>
      </c>
      <c r="F357" s="1">
        <f t="shared" si="136"/>
        <v>0.1</v>
      </c>
      <c r="G357" s="1">
        <f t="shared" si="137"/>
        <v>0.1</v>
      </c>
      <c r="H357" s="1">
        <f t="shared" si="138"/>
        <v>0</v>
      </c>
      <c r="I357" s="1">
        <f t="shared" si="139"/>
        <v>0</v>
      </c>
    </row>
    <row r="358" spans="1:9" x14ac:dyDescent="0.25">
      <c r="A358" s="60" t="s">
        <v>74</v>
      </c>
      <c r="B358" t="str">
        <f t="shared" si="132"/>
        <v>Activated Sludge Microbiology: Filaments and Settling Problems</v>
      </c>
      <c r="C358" t="str">
        <f t="shared" si="133"/>
        <v>25-08902-001</v>
      </c>
      <c r="D358" s="1">
        <f t="shared" si="134"/>
        <v>0.1</v>
      </c>
      <c r="E358" s="1">
        <f t="shared" si="135"/>
        <v>0</v>
      </c>
      <c r="F358" s="1">
        <f t="shared" si="136"/>
        <v>0.1</v>
      </c>
      <c r="G358" s="1">
        <f t="shared" si="137"/>
        <v>0.1</v>
      </c>
      <c r="H358" s="1">
        <f t="shared" si="138"/>
        <v>0</v>
      </c>
      <c r="I358" s="1">
        <f t="shared" si="139"/>
        <v>0</v>
      </c>
    </row>
    <row r="359" spans="1:9" x14ac:dyDescent="0.25">
      <c r="A359" s="60" t="s">
        <v>742</v>
      </c>
      <c r="B359" t="str">
        <f t="shared" si="132"/>
        <v>MRT for Wastewater Treatment and Collection Systems</v>
      </c>
      <c r="C359" t="str">
        <f t="shared" si="133"/>
        <v>25-06840-002</v>
      </c>
      <c r="D359" s="1">
        <f t="shared" si="134"/>
        <v>0.25</v>
      </c>
      <c r="E359" s="1">
        <f t="shared" si="135"/>
        <v>0</v>
      </c>
      <c r="F359" s="1">
        <f t="shared" si="136"/>
        <v>0.25</v>
      </c>
      <c r="G359" s="1">
        <f t="shared" si="137"/>
        <v>0.25</v>
      </c>
      <c r="H359" s="1">
        <f t="shared" si="138"/>
        <v>0</v>
      </c>
      <c r="I359" s="1">
        <f t="shared" si="139"/>
        <v>0.25</v>
      </c>
    </row>
    <row r="360" spans="1:9" x14ac:dyDescent="0.25">
      <c r="A360" t="s">
        <v>287</v>
      </c>
      <c r="D360" s="1">
        <f>SUM(Table3910121821263133353641[Max])</f>
        <v>3.0500000000000007</v>
      </c>
      <c r="E360" s="1">
        <f>SUM(Table3910121821263133353641[W])</f>
        <v>1.6500000000000001</v>
      </c>
      <c r="F360" s="1">
        <f>SUM(Table3910121821263133353641[WW])</f>
        <v>2.1000000000000005</v>
      </c>
      <c r="G360" s="1">
        <f>SUM(Table3910121821263133353641[I])</f>
        <v>2.2000000000000002</v>
      </c>
      <c r="H360" s="1">
        <f>SUM(Table3910121821263133353641[D])</f>
        <v>1.4000000000000001</v>
      </c>
      <c r="I360" s="1">
        <f>SUM(Table3910121821263133353641[C])</f>
        <v>0.85</v>
      </c>
    </row>
    <row r="362" spans="1:9" x14ac:dyDescent="0.25">
      <c r="A362" s="6" t="s">
        <v>2318</v>
      </c>
      <c r="I362" s="61">
        <f>(D370-0.55)*10*20*0.9</f>
        <v>144</v>
      </c>
    </row>
    <row r="363" spans="1:9" x14ac:dyDescent="0.25">
      <c r="A363" t="s">
        <v>1956</v>
      </c>
      <c r="B363" t="s">
        <v>249</v>
      </c>
      <c r="C363" t="s">
        <v>1958</v>
      </c>
      <c r="D363" s="1" t="s">
        <v>1284</v>
      </c>
      <c r="E363" s="1" t="s">
        <v>22</v>
      </c>
      <c r="F363" s="1" t="s">
        <v>23</v>
      </c>
      <c r="G363" s="1" t="s">
        <v>26</v>
      </c>
      <c r="H363" s="1" t="s">
        <v>25</v>
      </c>
      <c r="I363" s="1" t="s">
        <v>24</v>
      </c>
    </row>
    <row r="364" spans="1:9" x14ac:dyDescent="0.25">
      <c r="A364" s="60" t="s">
        <v>52</v>
      </c>
      <c r="B364" t="str">
        <f t="shared" ref="B364:I369" si="140">LOOKUP($A364,$X:$X,Y:Y)</f>
        <v>Pumps</v>
      </c>
      <c r="C364" t="str">
        <f t="shared" si="140"/>
        <v>25-06046-002</v>
      </c>
      <c r="D364" s="1">
        <f t="shared" si="140"/>
        <v>0.2</v>
      </c>
      <c r="E364" s="1">
        <f t="shared" si="140"/>
        <v>0.2</v>
      </c>
      <c r="F364" s="1">
        <f t="shared" si="140"/>
        <v>0.2</v>
      </c>
      <c r="G364" s="1">
        <f t="shared" si="140"/>
        <v>0.2</v>
      </c>
      <c r="H364" s="1">
        <f t="shared" si="140"/>
        <v>0.2</v>
      </c>
      <c r="I364" s="1">
        <f t="shared" si="140"/>
        <v>0.2</v>
      </c>
    </row>
    <row r="365" spans="1:9" x14ac:dyDescent="0.25">
      <c r="A365" s="60" t="s">
        <v>57</v>
      </c>
      <c r="B365" t="str">
        <f t="shared" si="140"/>
        <v>Introduction to Collections Systems</v>
      </c>
      <c r="C365" t="str">
        <f t="shared" si="140"/>
        <v>25-06000-002</v>
      </c>
      <c r="D365" s="1">
        <f t="shared" si="140"/>
        <v>0.15</v>
      </c>
      <c r="E365" s="1">
        <f t="shared" si="140"/>
        <v>0</v>
      </c>
      <c r="F365" s="1">
        <f t="shared" si="140"/>
        <v>0</v>
      </c>
      <c r="G365" s="1">
        <f t="shared" si="140"/>
        <v>0</v>
      </c>
      <c r="H365" s="1">
        <f t="shared" si="140"/>
        <v>0</v>
      </c>
      <c r="I365" s="1">
        <f t="shared" si="140"/>
        <v>0.15</v>
      </c>
    </row>
    <row r="366" spans="1:9" x14ac:dyDescent="0.25">
      <c r="A366" s="60" t="s">
        <v>93</v>
      </c>
      <c r="B366" t="str">
        <f t="shared" si="140"/>
        <v>Water Treatment Part 2 (Disinfection, Water Focus)</v>
      </c>
      <c r="C366" t="str">
        <f t="shared" si="140"/>
        <v>25-06038-001</v>
      </c>
      <c r="D366" s="1">
        <f t="shared" si="140"/>
        <v>0.25</v>
      </c>
      <c r="E366" s="1">
        <f t="shared" si="140"/>
        <v>0.25</v>
      </c>
      <c r="F366" s="1">
        <f t="shared" si="140"/>
        <v>0.25</v>
      </c>
      <c r="G366" s="1">
        <f t="shared" si="140"/>
        <v>0.25</v>
      </c>
      <c r="H366" s="1">
        <f t="shared" si="140"/>
        <v>0.25</v>
      </c>
      <c r="I366" s="1">
        <f t="shared" si="140"/>
        <v>0</v>
      </c>
    </row>
    <row r="367" spans="1:9" x14ac:dyDescent="0.25">
      <c r="A367" s="60" t="s">
        <v>94</v>
      </c>
      <c r="B367" t="str">
        <f t="shared" si="140"/>
        <v>Intro to Distribution Systems</v>
      </c>
      <c r="C367" t="str">
        <f t="shared" si="140"/>
        <v>25-06696-001</v>
      </c>
      <c r="D367" s="1">
        <f t="shared" si="140"/>
        <v>0.2</v>
      </c>
      <c r="E367" s="1">
        <f t="shared" si="140"/>
        <v>0.1</v>
      </c>
      <c r="F367" s="1">
        <f t="shared" si="140"/>
        <v>0.1</v>
      </c>
      <c r="G367" s="1">
        <f t="shared" si="140"/>
        <v>0.1</v>
      </c>
      <c r="H367" s="1">
        <f t="shared" si="140"/>
        <v>0.2</v>
      </c>
      <c r="I367" s="1">
        <f t="shared" si="140"/>
        <v>0.1</v>
      </c>
    </row>
    <row r="368" spans="1:9" x14ac:dyDescent="0.25">
      <c r="A368" s="60" t="s">
        <v>95</v>
      </c>
      <c r="B368" t="str">
        <f t="shared" si="140"/>
        <v>MRT Drinking Water Regulatory Course</v>
      </c>
      <c r="C368" t="str">
        <f t="shared" si="140"/>
        <v>25-06743-002</v>
      </c>
      <c r="D368" s="1">
        <f t="shared" si="140"/>
        <v>0.3</v>
      </c>
      <c r="E368" s="1">
        <f t="shared" si="140"/>
        <v>0.3</v>
      </c>
      <c r="F368" s="1">
        <f t="shared" si="140"/>
        <v>0</v>
      </c>
      <c r="G368" s="1">
        <f t="shared" si="140"/>
        <v>0</v>
      </c>
      <c r="H368" s="1">
        <f t="shared" si="140"/>
        <v>0.3</v>
      </c>
      <c r="I368" s="1">
        <f t="shared" si="140"/>
        <v>0</v>
      </c>
    </row>
    <row r="369" spans="1:9" x14ac:dyDescent="0.25">
      <c r="A369" s="60" t="s">
        <v>742</v>
      </c>
      <c r="B369" t="str">
        <f t="shared" si="140"/>
        <v>MRT for Wastewater Treatment and Collection Systems</v>
      </c>
      <c r="C369" t="str">
        <f t="shared" si="140"/>
        <v>25-06840-002</v>
      </c>
      <c r="D369" s="1">
        <f t="shared" si="140"/>
        <v>0.25</v>
      </c>
      <c r="E369" s="1">
        <f t="shared" si="140"/>
        <v>0</v>
      </c>
      <c r="F369" s="1">
        <f t="shared" si="140"/>
        <v>0.25</v>
      </c>
      <c r="G369" s="1">
        <f t="shared" si="140"/>
        <v>0.25</v>
      </c>
      <c r="H369" s="1">
        <f t="shared" si="140"/>
        <v>0</v>
      </c>
      <c r="I369" s="1">
        <f t="shared" si="140"/>
        <v>0.25</v>
      </c>
    </row>
    <row r="370" spans="1:9" x14ac:dyDescent="0.25">
      <c r="A370" t="s">
        <v>287</v>
      </c>
      <c r="D370" s="1">
        <f>SUM(Table391012182126313335364142[Max])</f>
        <v>1.35</v>
      </c>
      <c r="E370" s="1">
        <f>SUM(Table391012182126313335364142[W])</f>
        <v>0.85000000000000009</v>
      </c>
      <c r="F370" s="1">
        <f>SUM(Table391012182126313335364142[WW])</f>
        <v>0.8</v>
      </c>
      <c r="G370" s="1">
        <f>SUM(Table391012182126313335364142[I])</f>
        <v>0.8</v>
      </c>
      <c r="H370" s="1">
        <f>SUM(Table391012182126313335364142[D])</f>
        <v>0.95</v>
      </c>
      <c r="I370" s="1">
        <f>SUM(Table391012182126313335364142[C])</f>
        <v>0.7</v>
      </c>
    </row>
    <row r="372" spans="1:9" x14ac:dyDescent="0.25">
      <c r="A372" s="6" t="s">
        <v>2319</v>
      </c>
      <c r="I372" s="61">
        <f>(D383-0.55)*10*20*0.9+1</f>
        <v>262</v>
      </c>
    </row>
    <row r="373" spans="1:9" x14ac:dyDescent="0.25">
      <c r="A373" t="s">
        <v>1956</v>
      </c>
      <c r="B373" t="s">
        <v>249</v>
      </c>
      <c r="C373" t="s">
        <v>1958</v>
      </c>
      <c r="D373" s="1" t="s">
        <v>1284</v>
      </c>
      <c r="E373" s="1" t="s">
        <v>22</v>
      </c>
      <c r="F373" s="1" t="s">
        <v>23</v>
      </c>
      <c r="G373" s="1" t="s">
        <v>26</v>
      </c>
      <c r="H373" s="1" t="s">
        <v>25</v>
      </c>
      <c r="I373" s="1" t="s">
        <v>24</v>
      </c>
    </row>
    <row r="374" spans="1:9" x14ac:dyDescent="0.25">
      <c r="A374" s="60" t="s">
        <v>52</v>
      </c>
      <c r="B374" t="str">
        <f t="shared" ref="B374:B382" si="141">LOOKUP($A374,$X:$X,Y:Y)</f>
        <v>Pumps</v>
      </c>
      <c r="C374" t="str">
        <f t="shared" ref="C374:C382" si="142">LOOKUP($A374,$X:$X,Z:Z)</f>
        <v>25-06046-002</v>
      </c>
      <c r="D374" s="1">
        <f t="shared" ref="D374:D382" si="143">LOOKUP($A374,$X:$X,AA:AA)</f>
        <v>0.2</v>
      </c>
      <c r="E374" s="1">
        <f t="shared" ref="E374:E382" si="144">LOOKUP($A374,$X:$X,AB:AB)</f>
        <v>0.2</v>
      </c>
      <c r="F374" s="1">
        <f t="shared" ref="F374:F382" si="145">LOOKUP($A374,$X:$X,AC:AC)</f>
        <v>0.2</v>
      </c>
      <c r="G374" s="1">
        <f t="shared" ref="G374:G382" si="146">LOOKUP($A374,$X:$X,AD:AD)</f>
        <v>0.2</v>
      </c>
      <c r="H374" s="1">
        <f t="shared" ref="H374:H382" si="147">LOOKUP($A374,$X:$X,AE:AE)</f>
        <v>0.2</v>
      </c>
      <c r="I374" s="1">
        <f t="shared" ref="I374:I382" si="148">LOOKUP($A374,$X:$X,AF:AF)</f>
        <v>0.2</v>
      </c>
    </row>
    <row r="375" spans="1:9" x14ac:dyDescent="0.25">
      <c r="A375" s="60" t="s">
        <v>58</v>
      </c>
      <c r="B375" t="str">
        <f t="shared" si="141"/>
        <v>Collection System Inspection, Testing, and Cleaning - Part 1</v>
      </c>
      <c r="C375" t="str">
        <f t="shared" si="142"/>
        <v>25-06001-002</v>
      </c>
      <c r="D375" s="1">
        <f t="shared" si="143"/>
        <v>0.25</v>
      </c>
      <c r="E375" s="1">
        <f t="shared" si="144"/>
        <v>0</v>
      </c>
      <c r="F375" s="1">
        <f t="shared" si="145"/>
        <v>0</v>
      </c>
      <c r="G375" s="1">
        <f t="shared" si="146"/>
        <v>0</v>
      </c>
      <c r="H375" s="1">
        <f t="shared" si="147"/>
        <v>0</v>
      </c>
      <c r="I375" s="1">
        <f t="shared" si="148"/>
        <v>0.25</v>
      </c>
    </row>
    <row r="376" spans="1:9" x14ac:dyDescent="0.25">
      <c r="A376" s="60" t="s">
        <v>59</v>
      </c>
      <c r="B376" t="str">
        <f t="shared" si="141"/>
        <v>Collection System Inspection, Testing, and Cleaning - Part 2</v>
      </c>
      <c r="C376" t="str">
        <f t="shared" si="142"/>
        <v>25-06002-002</v>
      </c>
      <c r="D376" s="1">
        <f t="shared" si="143"/>
        <v>0.25</v>
      </c>
      <c r="E376" s="1">
        <f t="shared" si="144"/>
        <v>0</v>
      </c>
      <c r="F376" s="1">
        <f t="shared" si="145"/>
        <v>0</v>
      </c>
      <c r="G376" s="1">
        <f t="shared" si="146"/>
        <v>0</v>
      </c>
      <c r="H376" s="1">
        <f t="shared" si="147"/>
        <v>0</v>
      </c>
      <c r="I376" s="1">
        <f t="shared" si="148"/>
        <v>0.25</v>
      </c>
    </row>
    <row r="377" spans="1:9" x14ac:dyDescent="0.25">
      <c r="A377" s="60" t="s">
        <v>60</v>
      </c>
      <c r="B377" t="str">
        <f t="shared" si="141"/>
        <v>Lift Stations</v>
      </c>
      <c r="C377" t="str">
        <f t="shared" si="142"/>
        <v>25-06003-001</v>
      </c>
      <c r="D377" s="1">
        <f t="shared" si="143"/>
        <v>0.2</v>
      </c>
      <c r="E377" s="1">
        <f t="shared" si="144"/>
        <v>0</v>
      </c>
      <c r="F377" s="1">
        <f t="shared" si="145"/>
        <v>0.2</v>
      </c>
      <c r="G377" s="1">
        <f t="shared" si="146"/>
        <v>0.2</v>
      </c>
      <c r="H377" s="1">
        <f t="shared" si="147"/>
        <v>0</v>
      </c>
      <c r="I377" s="1">
        <f t="shared" si="148"/>
        <v>0.2</v>
      </c>
    </row>
    <row r="378" spans="1:9" x14ac:dyDescent="0.25">
      <c r="A378" s="60" t="s">
        <v>91</v>
      </c>
      <c r="B378" t="str">
        <f t="shared" si="141"/>
        <v>Water Sources Part 2</v>
      </c>
      <c r="C378" t="str">
        <f t="shared" si="142"/>
        <v>25-06036-001</v>
      </c>
      <c r="D378" s="1">
        <f t="shared" si="143"/>
        <v>0.1</v>
      </c>
      <c r="E378" s="1">
        <f t="shared" si="144"/>
        <v>0.1</v>
      </c>
      <c r="F378" s="1">
        <f t="shared" si="145"/>
        <v>0</v>
      </c>
      <c r="G378" s="1">
        <f t="shared" si="146"/>
        <v>0.1</v>
      </c>
      <c r="H378" s="1">
        <f t="shared" si="147"/>
        <v>0.1</v>
      </c>
      <c r="I378" s="1">
        <f t="shared" si="148"/>
        <v>0</v>
      </c>
    </row>
    <row r="379" spans="1:9" x14ac:dyDescent="0.25">
      <c r="A379" s="60" t="s">
        <v>93</v>
      </c>
      <c r="B379" t="str">
        <f t="shared" si="141"/>
        <v>Water Treatment Part 2 (Disinfection, Water Focus)</v>
      </c>
      <c r="C379" t="str">
        <f t="shared" si="142"/>
        <v>25-06038-001</v>
      </c>
      <c r="D379" s="1">
        <f t="shared" si="143"/>
        <v>0.25</v>
      </c>
      <c r="E379" s="1">
        <f t="shared" si="144"/>
        <v>0.25</v>
      </c>
      <c r="F379" s="1">
        <f t="shared" si="145"/>
        <v>0.25</v>
      </c>
      <c r="G379" s="1">
        <f t="shared" si="146"/>
        <v>0.25</v>
      </c>
      <c r="H379" s="1">
        <f t="shared" si="147"/>
        <v>0.25</v>
      </c>
      <c r="I379" s="1">
        <f t="shared" si="148"/>
        <v>0</v>
      </c>
    </row>
    <row r="380" spans="1:9" x14ac:dyDescent="0.25">
      <c r="A380" s="60" t="s">
        <v>94</v>
      </c>
      <c r="B380" t="str">
        <f t="shared" si="141"/>
        <v>Intro to Distribution Systems</v>
      </c>
      <c r="C380" t="str">
        <f t="shared" si="142"/>
        <v>25-06696-001</v>
      </c>
      <c r="D380" s="1">
        <f t="shared" si="143"/>
        <v>0.2</v>
      </c>
      <c r="E380" s="1">
        <f t="shared" si="144"/>
        <v>0.1</v>
      </c>
      <c r="F380" s="1">
        <f t="shared" si="145"/>
        <v>0.1</v>
      </c>
      <c r="G380" s="1">
        <f t="shared" si="146"/>
        <v>0.1</v>
      </c>
      <c r="H380" s="1">
        <f t="shared" si="147"/>
        <v>0.2</v>
      </c>
      <c r="I380" s="1">
        <f t="shared" si="148"/>
        <v>0.1</v>
      </c>
    </row>
    <row r="381" spans="1:9" x14ac:dyDescent="0.25">
      <c r="A381" s="60" t="s">
        <v>95</v>
      </c>
      <c r="B381" t="str">
        <f t="shared" si="141"/>
        <v>MRT Drinking Water Regulatory Course</v>
      </c>
      <c r="C381" t="str">
        <f t="shared" si="142"/>
        <v>25-06743-002</v>
      </c>
      <c r="D381" s="1">
        <f t="shared" si="143"/>
        <v>0.3</v>
      </c>
      <c r="E381" s="1">
        <f t="shared" si="144"/>
        <v>0.3</v>
      </c>
      <c r="F381" s="1">
        <f t="shared" si="145"/>
        <v>0</v>
      </c>
      <c r="G381" s="1">
        <f t="shared" si="146"/>
        <v>0</v>
      </c>
      <c r="H381" s="1">
        <f t="shared" si="147"/>
        <v>0.3</v>
      </c>
      <c r="I381" s="1">
        <f t="shared" si="148"/>
        <v>0</v>
      </c>
    </row>
    <row r="382" spans="1:9" x14ac:dyDescent="0.25">
      <c r="A382" s="60" t="s">
        <v>742</v>
      </c>
      <c r="B382" t="str">
        <f t="shared" si="141"/>
        <v>MRT for Wastewater Treatment and Collection Systems</v>
      </c>
      <c r="C382" t="str">
        <f t="shared" si="142"/>
        <v>25-06840-002</v>
      </c>
      <c r="D382" s="1">
        <f t="shared" si="143"/>
        <v>0.25</v>
      </c>
      <c r="E382" s="1">
        <f t="shared" si="144"/>
        <v>0</v>
      </c>
      <c r="F382" s="1">
        <f t="shared" si="145"/>
        <v>0.25</v>
      </c>
      <c r="G382" s="1">
        <f t="shared" si="146"/>
        <v>0.25</v>
      </c>
      <c r="H382" s="1">
        <f t="shared" si="147"/>
        <v>0</v>
      </c>
      <c r="I382" s="1">
        <f t="shared" si="148"/>
        <v>0.25</v>
      </c>
    </row>
    <row r="383" spans="1:9" x14ac:dyDescent="0.25">
      <c r="A383" t="s">
        <v>287</v>
      </c>
      <c r="D383" s="1">
        <f>SUM(Table39101218212631333536414243[Max])</f>
        <v>2</v>
      </c>
      <c r="E383" s="1">
        <f>SUM(Table39101218212631333536414243[W])</f>
        <v>0.95</v>
      </c>
      <c r="F383" s="1">
        <f>SUM(Table39101218212631333536414243[WW])</f>
        <v>1</v>
      </c>
      <c r="G383" s="1">
        <f>SUM(Table39101218212631333536414243[I])</f>
        <v>1.1000000000000001</v>
      </c>
      <c r="H383" s="1">
        <f>SUM(Table39101218212631333536414243[D])</f>
        <v>1.05</v>
      </c>
      <c r="I383" s="1">
        <f>SUM(Table39101218212631333536414243[C])</f>
        <v>1.25</v>
      </c>
    </row>
    <row r="385" spans="1:9" x14ac:dyDescent="0.25">
      <c r="A385" s="6" t="s">
        <v>2320</v>
      </c>
      <c r="I385" s="61">
        <f>(D400-0.55)*10*20*0.9+1</f>
        <v>334</v>
      </c>
    </row>
    <row r="386" spans="1:9" x14ac:dyDescent="0.25">
      <c r="A386" t="s">
        <v>1956</v>
      </c>
      <c r="B386" t="s">
        <v>249</v>
      </c>
      <c r="C386" t="s">
        <v>1958</v>
      </c>
      <c r="D386" s="1" t="s">
        <v>1284</v>
      </c>
      <c r="E386" s="1" t="s">
        <v>22</v>
      </c>
      <c r="F386" s="1" t="s">
        <v>23</v>
      </c>
      <c r="G386" s="1" t="s">
        <v>26</v>
      </c>
      <c r="H386" s="1" t="s">
        <v>25</v>
      </c>
      <c r="I386" s="1" t="s">
        <v>24</v>
      </c>
    </row>
    <row r="387" spans="1:9" x14ac:dyDescent="0.25">
      <c r="A387" s="60" t="s">
        <v>52</v>
      </c>
      <c r="B387" t="str">
        <f t="shared" ref="B387:B399" si="149">LOOKUP($A387,$X:$X,Y:Y)</f>
        <v>Pumps</v>
      </c>
      <c r="C387" t="str">
        <f t="shared" ref="C387:C399" si="150">LOOKUP($A387,$X:$X,Z:Z)</f>
        <v>25-06046-002</v>
      </c>
      <c r="D387" s="1">
        <f t="shared" ref="D387:D399" si="151">LOOKUP($A387,$X:$X,AA:AA)</f>
        <v>0.2</v>
      </c>
      <c r="E387" s="1">
        <f t="shared" ref="E387:E399" si="152">LOOKUP($A387,$X:$X,AB:AB)</f>
        <v>0.2</v>
      </c>
      <c r="F387" s="1">
        <f t="shared" ref="F387:F399" si="153">LOOKUP($A387,$X:$X,AC:AC)</f>
        <v>0.2</v>
      </c>
      <c r="G387" s="1">
        <f t="shared" ref="G387:G399" si="154">LOOKUP($A387,$X:$X,AD:AD)</f>
        <v>0.2</v>
      </c>
      <c r="H387" s="1">
        <f t="shared" ref="H387:H399" si="155">LOOKUP($A387,$X:$X,AE:AE)</f>
        <v>0.2</v>
      </c>
      <c r="I387" s="1">
        <f t="shared" ref="I387:I399" si="156">LOOKUP($A387,$X:$X,AF:AF)</f>
        <v>0.2</v>
      </c>
    </row>
    <row r="388" spans="1:9" x14ac:dyDescent="0.25">
      <c r="A388" s="60" t="s">
        <v>56</v>
      </c>
      <c r="B388" t="str">
        <f t="shared" si="149"/>
        <v>Corrosion Control</v>
      </c>
      <c r="C388" t="str">
        <f t="shared" si="150"/>
        <v>25-05992-001</v>
      </c>
      <c r="D388" s="1">
        <f t="shared" si="151"/>
        <v>0.25</v>
      </c>
      <c r="E388" s="1">
        <f t="shared" si="152"/>
        <v>0.25</v>
      </c>
      <c r="F388" s="1">
        <f t="shared" si="153"/>
        <v>0.25</v>
      </c>
      <c r="G388" s="1">
        <f t="shared" si="154"/>
        <v>0.25</v>
      </c>
      <c r="H388" s="1">
        <f t="shared" si="155"/>
        <v>0.25</v>
      </c>
      <c r="I388" s="1">
        <f t="shared" si="156"/>
        <v>0.25</v>
      </c>
    </row>
    <row r="389" spans="1:9" x14ac:dyDescent="0.25">
      <c r="A389" s="60" t="s">
        <v>57</v>
      </c>
      <c r="B389" t="str">
        <f t="shared" si="149"/>
        <v>Introduction to Collections Systems</v>
      </c>
      <c r="C389" t="str">
        <f t="shared" si="150"/>
        <v>25-06000-002</v>
      </c>
      <c r="D389" s="1">
        <f t="shared" si="151"/>
        <v>0.15</v>
      </c>
      <c r="E389" s="1">
        <f t="shared" si="152"/>
        <v>0</v>
      </c>
      <c r="F389" s="1">
        <f t="shared" si="153"/>
        <v>0</v>
      </c>
      <c r="G389" s="1">
        <f t="shared" si="154"/>
        <v>0</v>
      </c>
      <c r="H389" s="1">
        <f t="shared" si="155"/>
        <v>0</v>
      </c>
      <c r="I389" s="1">
        <f t="shared" si="156"/>
        <v>0.15</v>
      </c>
    </row>
    <row r="390" spans="1:9" x14ac:dyDescent="0.25">
      <c r="A390" s="60" t="s">
        <v>60</v>
      </c>
      <c r="B390" t="str">
        <f t="shared" si="149"/>
        <v>Lift Stations</v>
      </c>
      <c r="C390" t="str">
        <f t="shared" si="150"/>
        <v>25-06003-001</v>
      </c>
      <c r="D390" s="1">
        <f t="shared" si="151"/>
        <v>0.2</v>
      </c>
      <c r="E390" s="1">
        <f t="shared" si="152"/>
        <v>0</v>
      </c>
      <c r="F390" s="1">
        <f t="shared" si="153"/>
        <v>0.2</v>
      </c>
      <c r="G390" s="1">
        <f t="shared" si="154"/>
        <v>0.2</v>
      </c>
      <c r="H390" s="1">
        <f t="shared" si="155"/>
        <v>0</v>
      </c>
      <c r="I390" s="1">
        <f t="shared" si="156"/>
        <v>0.2</v>
      </c>
    </row>
    <row r="391" spans="1:9" x14ac:dyDescent="0.25">
      <c r="A391" s="60" t="str">
        <f>X54</f>
        <v>WATER-009</v>
      </c>
      <c r="B391" t="str">
        <f t="shared" si="149"/>
        <v>Water Storage Tanks Part 1 - Components</v>
      </c>
      <c r="C391" t="str">
        <f t="shared" si="150"/>
        <v>25-10976-001</v>
      </c>
      <c r="D391" s="1">
        <f t="shared" si="151"/>
        <v>0.1</v>
      </c>
      <c r="E391" s="1">
        <f t="shared" si="152"/>
        <v>0.1</v>
      </c>
      <c r="F391" s="1">
        <f t="shared" si="153"/>
        <v>0.1</v>
      </c>
      <c r="G391" s="1">
        <f t="shared" si="154"/>
        <v>0.1</v>
      </c>
      <c r="H391" s="1">
        <f t="shared" si="155"/>
        <v>0.1</v>
      </c>
      <c r="I391" s="1">
        <f t="shared" si="156"/>
        <v>0</v>
      </c>
    </row>
    <row r="392" spans="1:9" x14ac:dyDescent="0.25">
      <c r="A392" s="60" t="str">
        <f>X55</f>
        <v>WATER-010</v>
      </c>
      <c r="B392" t="str">
        <f t="shared" si="149"/>
        <v>Water Storage Tanks Part 2 - Water Age and Quality</v>
      </c>
      <c r="C392" t="str">
        <f t="shared" si="150"/>
        <v>25-10977-001</v>
      </c>
      <c r="D392" s="1">
        <f t="shared" si="151"/>
        <v>0.1</v>
      </c>
      <c r="E392" s="1">
        <f t="shared" si="152"/>
        <v>0.1</v>
      </c>
      <c r="F392" s="1">
        <f t="shared" si="153"/>
        <v>0.1</v>
      </c>
      <c r="G392" s="1">
        <f t="shared" si="154"/>
        <v>0.1</v>
      </c>
      <c r="H392" s="1">
        <f t="shared" si="155"/>
        <v>0.1</v>
      </c>
      <c r="I392" s="1">
        <f t="shared" si="156"/>
        <v>0</v>
      </c>
    </row>
    <row r="393" spans="1:9" x14ac:dyDescent="0.25">
      <c r="A393" s="60" t="s">
        <v>62</v>
      </c>
      <c r="B393" t="str">
        <f t="shared" si="149"/>
        <v>Trenching and Shoring</v>
      </c>
      <c r="C393" t="str">
        <f t="shared" si="150"/>
        <v>25-05998-001</v>
      </c>
      <c r="D393" s="1">
        <f t="shared" si="151"/>
        <v>0.25</v>
      </c>
      <c r="E393" s="1">
        <f t="shared" si="152"/>
        <v>0</v>
      </c>
      <c r="F393" s="1">
        <f t="shared" si="153"/>
        <v>0</v>
      </c>
      <c r="G393" s="1">
        <f t="shared" si="154"/>
        <v>0</v>
      </c>
      <c r="H393" s="1">
        <f t="shared" si="155"/>
        <v>0.25</v>
      </c>
      <c r="I393" s="1">
        <f t="shared" si="156"/>
        <v>0.25</v>
      </c>
    </row>
    <row r="394" spans="1:9" x14ac:dyDescent="0.25">
      <c r="A394" s="60" t="s">
        <v>1475</v>
      </c>
      <c r="B394" t="str">
        <f t="shared" si="149"/>
        <v>Demolition Saws</v>
      </c>
      <c r="C394" t="str">
        <f t="shared" si="150"/>
        <v>25-09506-001</v>
      </c>
      <c r="D394" s="1">
        <f t="shared" si="151"/>
        <v>0.05</v>
      </c>
      <c r="E394" s="1">
        <f t="shared" si="152"/>
        <v>0.05</v>
      </c>
      <c r="F394" s="1">
        <f t="shared" si="153"/>
        <v>0.05</v>
      </c>
      <c r="G394" s="1">
        <f t="shared" si="154"/>
        <v>0.05</v>
      </c>
      <c r="H394" s="1">
        <f t="shared" si="155"/>
        <v>0.05</v>
      </c>
      <c r="I394" s="1">
        <f t="shared" si="156"/>
        <v>0.05</v>
      </c>
    </row>
    <row r="395" spans="1:9" x14ac:dyDescent="0.25">
      <c r="A395" s="60" t="s">
        <v>91</v>
      </c>
      <c r="B395" t="str">
        <f t="shared" si="149"/>
        <v>Water Sources Part 2</v>
      </c>
      <c r="C395" t="str">
        <f t="shared" si="150"/>
        <v>25-06036-001</v>
      </c>
      <c r="D395" s="1">
        <f t="shared" si="151"/>
        <v>0.1</v>
      </c>
      <c r="E395" s="1">
        <f t="shared" si="152"/>
        <v>0.1</v>
      </c>
      <c r="F395" s="1">
        <f t="shared" si="153"/>
        <v>0</v>
      </c>
      <c r="G395" s="1">
        <f t="shared" si="154"/>
        <v>0.1</v>
      </c>
      <c r="H395" s="1">
        <f t="shared" si="155"/>
        <v>0.1</v>
      </c>
      <c r="I395" s="1">
        <f t="shared" si="156"/>
        <v>0</v>
      </c>
    </row>
    <row r="396" spans="1:9" x14ac:dyDescent="0.25">
      <c r="A396" s="60" t="s">
        <v>93</v>
      </c>
      <c r="B396" t="str">
        <f t="shared" si="149"/>
        <v>Water Treatment Part 2 (Disinfection, Water Focus)</v>
      </c>
      <c r="C396" t="str">
        <f t="shared" si="150"/>
        <v>25-06038-001</v>
      </c>
      <c r="D396" s="1">
        <f t="shared" si="151"/>
        <v>0.25</v>
      </c>
      <c r="E396" s="1">
        <f t="shared" si="152"/>
        <v>0.25</v>
      </c>
      <c r="F396" s="1">
        <f t="shared" si="153"/>
        <v>0.25</v>
      </c>
      <c r="G396" s="1">
        <f t="shared" si="154"/>
        <v>0.25</v>
      </c>
      <c r="H396" s="1">
        <f t="shared" si="155"/>
        <v>0.25</v>
      </c>
      <c r="I396" s="1">
        <f t="shared" si="156"/>
        <v>0</v>
      </c>
    </row>
    <row r="397" spans="1:9" x14ac:dyDescent="0.25">
      <c r="A397" s="60" t="s">
        <v>94</v>
      </c>
      <c r="B397" t="str">
        <f t="shared" si="149"/>
        <v>Intro to Distribution Systems</v>
      </c>
      <c r="C397" t="str">
        <f t="shared" si="150"/>
        <v>25-06696-001</v>
      </c>
      <c r="D397" s="1">
        <f t="shared" si="151"/>
        <v>0.2</v>
      </c>
      <c r="E397" s="1">
        <f t="shared" si="152"/>
        <v>0.1</v>
      </c>
      <c r="F397" s="1">
        <f t="shared" si="153"/>
        <v>0.1</v>
      </c>
      <c r="G397" s="1">
        <f t="shared" si="154"/>
        <v>0.1</v>
      </c>
      <c r="H397" s="1">
        <f t="shared" si="155"/>
        <v>0.2</v>
      </c>
      <c r="I397" s="1">
        <f t="shared" si="156"/>
        <v>0.1</v>
      </c>
    </row>
    <row r="398" spans="1:9" x14ac:dyDescent="0.25">
      <c r="A398" s="60" t="s">
        <v>95</v>
      </c>
      <c r="B398" t="str">
        <f t="shared" si="149"/>
        <v>MRT Drinking Water Regulatory Course</v>
      </c>
      <c r="C398" t="str">
        <f t="shared" si="150"/>
        <v>25-06743-002</v>
      </c>
      <c r="D398" s="1">
        <f t="shared" si="151"/>
        <v>0.3</v>
      </c>
      <c r="E398" s="1">
        <f t="shared" si="152"/>
        <v>0.3</v>
      </c>
      <c r="F398" s="1">
        <f t="shared" si="153"/>
        <v>0</v>
      </c>
      <c r="G398" s="1">
        <f t="shared" si="154"/>
        <v>0</v>
      </c>
      <c r="H398" s="1">
        <f t="shared" si="155"/>
        <v>0.3</v>
      </c>
      <c r="I398" s="1">
        <f t="shared" si="156"/>
        <v>0</v>
      </c>
    </row>
    <row r="399" spans="1:9" x14ac:dyDescent="0.25">
      <c r="A399" s="60" t="s">
        <v>742</v>
      </c>
      <c r="B399" t="str">
        <f t="shared" si="149"/>
        <v>MRT for Wastewater Treatment and Collection Systems</v>
      </c>
      <c r="C399" t="str">
        <f t="shared" si="150"/>
        <v>25-06840-002</v>
      </c>
      <c r="D399" s="1">
        <f t="shared" si="151"/>
        <v>0.25</v>
      </c>
      <c r="E399" s="1">
        <f t="shared" si="152"/>
        <v>0</v>
      </c>
      <c r="F399" s="1">
        <f t="shared" si="153"/>
        <v>0.25</v>
      </c>
      <c r="G399" s="1">
        <f t="shared" si="154"/>
        <v>0.25</v>
      </c>
      <c r="H399" s="1">
        <f t="shared" si="155"/>
        <v>0</v>
      </c>
      <c r="I399" s="1">
        <f t="shared" si="156"/>
        <v>0.25</v>
      </c>
    </row>
    <row r="400" spans="1:9" x14ac:dyDescent="0.25">
      <c r="A400" t="s">
        <v>287</v>
      </c>
      <c r="D400" s="1">
        <f>SUM(Table39101218212631333536414245[Max])</f>
        <v>2.4</v>
      </c>
      <c r="E400" s="1">
        <f>SUM(Table39101218212631333536414245[W])</f>
        <v>1.4500000000000002</v>
      </c>
      <c r="F400" s="1">
        <f>SUM(Table39101218212631333536414245[WW])</f>
        <v>1.5</v>
      </c>
      <c r="G400" s="1">
        <f>SUM(Table39101218212631333536414245[I])</f>
        <v>1.6</v>
      </c>
      <c r="H400" s="1">
        <f>SUM(Table39101218212631333536414245[D])</f>
        <v>1.8</v>
      </c>
      <c r="I400" s="1">
        <f>SUM(Table39101218212631333536414245[C])</f>
        <v>1.4500000000000002</v>
      </c>
    </row>
    <row r="402" spans="1:9" x14ac:dyDescent="0.25">
      <c r="A402" s="6" t="s">
        <v>2321</v>
      </c>
      <c r="I402" s="61">
        <f>(D421-0.55)*10*20*0.9+1</f>
        <v>442</v>
      </c>
    </row>
    <row r="403" spans="1:9" x14ac:dyDescent="0.25">
      <c r="A403" t="s">
        <v>1956</v>
      </c>
      <c r="B403" t="s">
        <v>249</v>
      </c>
      <c r="C403" t="s">
        <v>1958</v>
      </c>
      <c r="D403" s="1" t="s">
        <v>1284</v>
      </c>
      <c r="E403" s="1" t="s">
        <v>22</v>
      </c>
      <c r="F403" s="1" t="s">
        <v>23</v>
      </c>
      <c r="G403" s="1" t="s">
        <v>26</v>
      </c>
      <c r="H403" s="1" t="s">
        <v>25</v>
      </c>
      <c r="I403" s="1" t="s">
        <v>24</v>
      </c>
    </row>
    <row r="404" spans="1:9" x14ac:dyDescent="0.25">
      <c r="A404" s="60" t="s">
        <v>52</v>
      </c>
      <c r="B404" t="str">
        <f t="shared" ref="B404:B420" si="157">LOOKUP($A404,$X:$X,Y:Y)</f>
        <v>Pumps</v>
      </c>
      <c r="C404" t="str">
        <f t="shared" ref="C404:C420" si="158">LOOKUP($A404,$X:$X,Z:Z)</f>
        <v>25-06046-002</v>
      </c>
      <c r="D404" s="1">
        <f t="shared" ref="D404:D420" si="159">LOOKUP($A404,$X:$X,AA:AA)</f>
        <v>0.2</v>
      </c>
      <c r="E404" s="1">
        <f t="shared" ref="E404:E420" si="160">LOOKUP($A404,$X:$X,AB:AB)</f>
        <v>0.2</v>
      </c>
      <c r="F404" s="1">
        <f t="shared" ref="F404:F420" si="161">LOOKUP($A404,$X:$X,AC:AC)</f>
        <v>0.2</v>
      </c>
      <c r="G404" s="1">
        <f t="shared" ref="G404:G420" si="162">LOOKUP($A404,$X:$X,AD:AD)</f>
        <v>0.2</v>
      </c>
      <c r="H404" s="1">
        <f t="shared" ref="H404:H420" si="163">LOOKUP($A404,$X:$X,AE:AE)</f>
        <v>0.2</v>
      </c>
      <c r="I404" s="1">
        <f t="shared" ref="I404:I420" si="164">LOOKUP($A404,$X:$X,AF:AF)</f>
        <v>0.2</v>
      </c>
    </row>
    <row r="405" spans="1:9" x14ac:dyDescent="0.25">
      <c r="A405" s="60" t="s">
        <v>53</v>
      </c>
      <c r="B405" t="str">
        <f t="shared" si="157"/>
        <v>Hydraulics Basics</v>
      </c>
      <c r="C405" t="str">
        <f t="shared" si="158"/>
        <v>25-05990-001</v>
      </c>
      <c r="D405" s="1">
        <f t="shared" si="159"/>
        <v>0.15</v>
      </c>
      <c r="E405" s="1">
        <f t="shared" si="160"/>
        <v>0.15</v>
      </c>
      <c r="F405" s="1">
        <f t="shared" si="161"/>
        <v>0.15</v>
      </c>
      <c r="G405" s="1">
        <f t="shared" si="162"/>
        <v>0.15</v>
      </c>
      <c r="H405" s="1">
        <f t="shared" si="163"/>
        <v>0.15</v>
      </c>
      <c r="I405" s="1">
        <f t="shared" si="164"/>
        <v>0.15</v>
      </c>
    </row>
    <row r="406" spans="1:9" x14ac:dyDescent="0.25">
      <c r="A406" s="60" t="s">
        <v>57</v>
      </c>
      <c r="B406" t="str">
        <f t="shared" si="157"/>
        <v>Introduction to Collections Systems</v>
      </c>
      <c r="C406" t="str">
        <f t="shared" si="158"/>
        <v>25-06000-002</v>
      </c>
      <c r="D406" s="1">
        <f t="shared" si="159"/>
        <v>0.15</v>
      </c>
      <c r="E406" s="1">
        <f t="shared" si="160"/>
        <v>0</v>
      </c>
      <c r="F406" s="1">
        <f t="shared" si="161"/>
        <v>0</v>
      </c>
      <c r="G406" s="1">
        <f t="shared" si="162"/>
        <v>0</v>
      </c>
      <c r="H406" s="1">
        <f t="shared" si="163"/>
        <v>0</v>
      </c>
      <c r="I406" s="1">
        <f t="shared" si="164"/>
        <v>0.15</v>
      </c>
    </row>
    <row r="407" spans="1:9" x14ac:dyDescent="0.25">
      <c r="A407" s="60" t="s">
        <v>58</v>
      </c>
      <c r="B407" t="str">
        <f t="shared" si="157"/>
        <v>Collection System Inspection, Testing, and Cleaning - Part 1</v>
      </c>
      <c r="C407" t="str">
        <f t="shared" si="158"/>
        <v>25-06001-002</v>
      </c>
      <c r="D407" s="1">
        <f t="shared" si="159"/>
        <v>0.25</v>
      </c>
      <c r="E407" s="1">
        <f t="shared" si="160"/>
        <v>0</v>
      </c>
      <c r="F407" s="1">
        <f t="shared" si="161"/>
        <v>0</v>
      </c>
      <c r="G407" s="1">
        <f t="shared" si="162"/>
        <v>0</v>
      </c>
      <c r="H407" s="1">
        <f t="shared" si="163"/>
        <v>0</v>
      </c>
      <c r="I407" s="1">
        <f t="shared" si="164"/>
        <v>0.25</v>
      </c>
    </row>
    <row r="408" spans="1:9" x14ac:dyDescent="0.25">
      <c r="A408" s="60" t="s">
        <v>59</v>
      </c>
      <c r="B408" t="str">
        <f t="shared" si="157"/>
        <v>Collection System Inspection, Testing, and Cleaning - Part 2</v>
      </c>
      <c r="C408" t="str">
        <f t="shared" si="158"/>
        <v>25-06002-002</v>
      </c>
      <c r="D408" s="1">
        <f t="shared" si="159"/>
        <v>0.25</v>
      </c>
      <c r="E408" s="1">
        <f t="shared" si="160"/>
        <v>0</v>
      </c>
      <c r="F408" s="1">
        <f t="shared" si="161"/>
        <v>0</v>
      </c>
      <c r="G408" s="1">
        <f t="shared" si="162"/>
        <v>0</v>
      </c>
      <c r="H408" s="1">
        <f t="shared" si="163"/>
        <v>0</v>
      </c>
      <c r="I408" s="1">
        <f t="shared" si="164"/>
        <v>0.25</v>
      </c>
    </row>
    <row r="409" spans="1:9" x14ac:dyDescent="0.25">
      <c r="A409" s="60" t="s">
        <v>60</v>
      </c>
      <c r="B409" t="str">
        <f t="shared" si="157"/>
        <v>Lift Stations</v>
      </c>
      <c r="C409" t="str">
        <f t="shared" si="158"/>
        <v>25-06003-001</v>
      </c>
      <c r="D409" s="1">
        <f t="shared" si="159"/>
        <v>0.2</v>
      </c>
      <c r="E409" s="1">
        <f t="shared" si="160"/>
        <v>0</v>
      </c>
      <c r="F409" s="1">
        <f t="shared" si="161"/>
        <v>0.2</v>
      </c>
      <c r="G409" s="1">
        <f t="shared" si="162"/>
        <v>0.2</v>
      </c>
      <c r="H409" s="1">
        <f t="shared" si="163"/>
        <v>0</v>
      </c>
      <c r="I409" s="1">
        <f t="shared" si="164"/>
        <v>0.2</v>
      </c>
    </row>
    <row r="410" spans="1:9" x14ac:dyDescent="0.25">
      <c r="A410" s="60" t="str">
        <f>X54</f>
        <v>WATER-009</v>
      </c>
      <c r="B410" t="str">
        <f t="shared" si="157"/>
        <v>Water Storage Tanks Part 1 - Components</v>
      </c>
      <c r="C410" t="str">
        <f t="shared" si="158"/>
        <v>25-10976-001</v>
      </c>
      <c r="D410" s="1">
        <f t="shared" si="159"/>
        <v>0.1</v>
      </c>
      <c r="E410" s="1">
        <f t="shared" si="160"/>
        <v>0.1</v>
      </c>
      <c r="F410" s="1">
        <f t="shared" si="161"/>
        <v>0.1</v>
      </c>
      <c r="G410" s="1">
        <f t="shared" si="162"/>
        <v>0.1</v>
      </c>
      <c r="H410" s="1">
        <f t="shared" si="163"/>
        <v>0.1</v>
      </c>
      <c r="I410" s="1">
        <f t="shared" si="164"/>
        <v>0</v>
      </c>
    </row>
    <row r="411" spans="1:9" x14ac:dyDescent="0.25">
      <c r="A411" s="60" t="str">
        <f t="shared" ref="A411:A412" si="165">X55</f>
        <v>WATER-010</v>
      </c>
      <c r="B411" t="str">
        <f t="shared" si="157"/>
        <v>Water Storage Tanks Part 2 - Water Age and Quality</v>
      </c>
      <c r="C411" t="str">
        <f t="shared" si="158"/>
        <v>25-10977-001</v>
      </c>
      <c r="D411" s="1">
        <f t="shared" si="159"/>
        <v>0.1</v>
      </c>
      <c r="E411" s="1">
        <f t="shared" si="160"/>
        <v>0.1</v>
      </c>
      <c r="F411" s="1">
        <f t="shared" si="161"/>
        <v>0.1</v>
      </c>
      <c r="G411" s="1">
        <f t="shared" si="162"/>
        <v>0.1</v>
      </c>
      <c r="H411" s="1">
        <f t="shared" si="163"/>
        <v>0.1</v>
      </c>
      <c r="I411" s="1">
        <f t="shared" si="164"/>
        <v>0</v>
      </c>
    </row>
    <row r="412" spans="1:9" x14ac:dyDescent="0.25">
      <c r="A412" s="60" t="str">
        <f t="shared" si="165"/>
        <v>WATER-011</v>
      </c>
      <c r="B412" t="str">
        <f t="shared" si="157"/>
        <v>Water Storage Tanks Part 3 - Inspections</v>
      </c>
      <c r="C412" t="str">
        <f t="shared" si="158"/>
        <v>25-10978-001</v>
      </c>
      <c r="D412" s="1">
        <f t="shared" si="159"/>
        <v>0.1</v>
      </c>
      <c r="E412" s="1">
        <f t="shared" si="160"/>
        <v>0.1</v>
      </c>
      <c r="F412" s="1">
        <f t="shared" si="161"/>
        <v>0.1</v>
      </c>
      <c r="G412" s="1">
        <f t="shared" si="162"/>
        <v>0.1</v>
      </c>
      <c r="H412" s="1">
        <f t="shared" si="163"/>
        <v>0.1</v>
      </c>
      <c r="I412" s="1">
        <f t="shared" si="164"/>
        <v>0</v>
      </c>
    </row>
    <row r="413" spans="1:9" x14ac:dyDescent="0.25">
      <c r="A413" s="60" t="s">
        <v>175</v>
      </c>
      <c r="B413" t="str">
        <f t="shared" si="157"/>
        <v>Manholes</v>
      </c>
      <c r="C413" t="str">
        <f t="shared" si="158"/>
        <v>25-06005-001</v>
      </c>
      <c r="D413" s="1">
        <f t="shared" si="159"/>
        <v>0.1</v>
      </c>
      <c r="E413" s="1">
        <f t="shared" si="160"/>
        <v>0</v>
      </c>
      <c r="F413" s="1">
        <f t="shared" si="161"/>
        <v>0</v>
      </c>
      <c r="G413" s="1">
        <f t="shared" si="162"/>
        <v>0</v>
      </c>
      <c r="H413" s="1">
        <f t="shared" si="163"/>
        <v>0</v>
      </c>
      <c r="I413" s="1">
        <f t="shared" si="164"/>
        <v>0.1</v>
      </c>
    </row>
    <row r="414" spans="1:9" x14ac:dyDescent="0.25">
      <c r="A414" s="60" t="s">
        <v>62</v>
      </c>
      <c r="B414" t="str">
        <f t="shared" si="157"/>
        <v>Trenching and Shoring</v>
      </c>
      <c r="C414" t="str">
        <f t="shared" si="158"/>
        <v>25-05998-001</v>
      </c>
      <c r="D414" s="1">
        <f t="shared" si="159"/>
        <v>0.25</v>
      </c>
      <c r="E414" s="1">
        <f t="shared" si="160"/>
        <v>0</v>
      </c>
      <c r="F414" s="1">
        <f t="shared" si="161"/>
        <v>0</v>
      </c>
      <c r="G414" s="1">
        <f t="shared" si="162"/>
        <v>0</v>
      </c>
      <c r="H414" s="1">
        <f t="shared" si="163"/>
        <v>0.25</v>
      </c>
      <c r="I414" s="1">
        <f t="shared" si="164"/>
        <v>0.25</v>
      </c>
    </row>
    <row r="415" spans="1:9" x14ac:dyDescent="0.25">
      <c r="A415" s="60" t="s">
        <v>1475</v>
      </c>
      <c r="B415" t="str">
        <f t="shared" si="157"/>
        <v>Demolition Saws</v>
      </c>
      <c r="C415" t="str">
        <f t="shared" si="158"/>
        <v>25-09506-001</v>
      </c>
      <c r="D415" s="1">
        <f t="shared" si="159"/>
        <v>0.05</v>
      </c>
      <c r="E415" s="1">
        <f t="shared" si="160"/>
        <v>0.05</v>
      </c>
      <c r="F415" s="1">
        <f t="shared" si="161"/>
        <v>0.05</v>
      </c>
      <c r="G415" s="1">
        <f t="shared" si="162"/>
        <v>0.05</v>
      </c>
      <c r="H415" s="1">
        <f t="shared" si="163"/>
        <v>0.05</v>
      </c>
      <c r="I415" s="1">
        <f t="shared" si="164"/>
        <v>0.05</v>
      </c>
    </row>
    <row r="416" spans="1:9" x14ac:dyDescent="0.25">
      <c r="A416" s="60" t="s">
        <v>91</v>
      </c>
      <c r="B416" t="str">
        <f t="shared" si="157"/>
        <v>Water Sources Part 2</v>
      </c>
      <c r="C416" t="str">
        <f t="shared" si="158"/>
        <v>25-06036-001</v>
      </c>
      <c r="D416" s="1">
        <f t="shared" si="159"/>
        <v>0.1</v>
      </c>
      <c r="E416" s="1">
        <f t="shared" si="160"/>
        <v>0.1</v>
      </c>
      <c r="F416" s="1">
        <f t="shared" si="161"/>
        <v>0</v>
      </c>
      <c r="G416" s="1">
        <f t="shared" si="162"/>
        <v>0.1</v>
      </c>
      <c r="H416" s="1">
        <f t="shared" si="163"/>
        <v>0.1</v>
      </c>
      <c r="I416" s="1">
        <f t="shared" si="164"/>
        <v>0</v>
      </c>
    </row>
    <row r="417" spans="1:9" x14ac:dyDescent="0.25">
      <c r="A417" s="60" t="s">
        <v>93</v>
      </c>
      <c r="B417" t="str">
        <f t="shared" si="157"/>
        <v>Water Treatment Part 2 (Disinfection, Water Focus)</v>
      </c>
      <c r="C417" t="str">
        <f t="shared" si="158"/>
        <v>25-06038-001</v>
      </c>
      <c r="D417" s="1">
        <f t="shared" si="159"/>
        <v>0.25</v>
      </c>
      <c r="E417" s="1">
        <f t="shared" si="160"/>
        <v>0.25</v>
      </c>
      <c r="F417" s="1">
        <f t="shared" si="161"/>
        <v>0.25</v>
      </c>
      <c r="G417" s="1">
        <f t="shared" si="162"/>
        <v>0.25</v>
      </c>
      <c r="H417" s="1">
        <f t="shared" si="163"/>
        <v>0.25</v>
      </c>
      <c r="I417" s="1">
        <f t="shared" si="164"/>
        <v>0</v>
      </c>
    </row>
    <row r="418" spans="1:9" x14ac:dyDescent="0.25">
      <c r="A418" s="60" t="s">
        <v>94</v>
      </c>
      <c r="B418" t="str">
        <f t="shared" si="157"/>
        <v>Intro to Distribution Systems</v>
      </c>
      <c r="C418" t="str">
        <f t="shared" si="158"/>
        <v>25-06696-001</v>
      </c>
      <c r="D418" s="1">
        <f t="shared" si="159"/>
        <v>0.2</v>
      </c>
      <c r="E418" s="1">
        <f t="shared" si="160"/>
        <v>0.1</v>
      </c>
      <c r="F418" s="1">
        <f t="shared" si="161"/>
        <v>0.1</v>
      </c>
      <c r="G418" s="1">
        <f t="shared" si="162"/>
        <v>0.1</v>
      </c>
      <c r="H418" s="1">
        <f t="shared" si="163"/>
        <v>0.2</v>
      </c>
      <c r="I418" s="1">
        <f t="shared" si="164"/>
        <v>0.1</v>
      </c>
    </row>
    <row r="419" spans="1:9" x14ac:dyDescent="0.25">
      <c r="A419" s="60" t="s">
        <v>95</v>
      </c>
      <c r="B419" t="str">
        <f t="shared" si="157"/>
        <v>MRT Drinking Water Regulatory Course</v>
      </c>
      <c r="C419" t="str">
        <f t="shared" si="158"/>
        <v>25-06743-002</v>
      </c>
      <c r="D419" s="1">
        <f t="shared" si="159"/>
        <v>0.3</v>
      </c>
      <c r="E419" s="1">
        <f t="shared" si="160"/>
        <v>0.3</v>
      </c>
      <c r="F419" s="1">
        <f t="shared" si="161"/>
        <v>0</v>
      </c>
      <c r="G419" s="1">
        <f t="shared" si="162"/>
        <v>0</v>
      </c>
      <c r="H419" s="1">
        <f t="shared" si="163"/>
        <v>0.3</v>
      </c>
      <c r="I419" s="1">
        <f t="shared" si="164"/>
        <v>0</v>
      </c>
    </row>
    <row r="420" spans="1:9" x14ac:dyDescent="0.25">
      <c r="A420" s="60" t="s">
        <v>742</v>
      </c>
      <c r="B420" t="str">
        <f t="shared" si="157"/>
        <v>MRT for Wastewater Treatment and Collection Systems</v>
      </c>
      <c r="C420" t="str">
        <f t="shared" si="158"/>
        <v>25-06840-002</v>
      </c>
      <c r="D420" s="1">
        <f t="shared" si="159"/>
        <v>0.25</v>
      </c>
      <c r="E420" s="1">
        <f t="shared" si="160"/>
        <v>0</v>
      </c>
      <c r="F420" s="1">
        <f t="shared" si="161"/>
        <v>0.25</v>
      </c>
      <c r="G420" s="1">
        <f t="shared" si="162"/>
        <v>0.25</v>
      </c>
      <c r="H420" s="1">
        <f t="shared" si="163"/>
        <v>0</v>
      </c>
      <c r="I420" s="1">
        <f t="shared" si="164"/>
        <v>0.25</v>
      </c>
    </row>
    <row r="421" spans="1:9" x14ac:dyDescent="0.25">
      <c r="A421" t="s">
        <v>287</v>
      </c>
      <c r="D421" s="1">
        <f>SUM(Table39101218212631333536414246[Max])</f>
        <v>3.0000000000000004</v>
      </c>
      <c r="E421" s="1">
        <f>SUM(Table39101218212631333536414246[W])</f>
        <v>1.45</v>
      </c>
      <c r="F421" s="1">
        <f>SUM(Table39101218212631333536414246[WW])</f>
        <v>1.5</v>
      </c>
      <c r="G421" s="1">
        <f>SUM(Table39101218212631333536414246[I])</f>
        <v>1.6</v>
      </c>
      <c r="H421" s="1">
        <f>SUM(Table39101218212631333536414246[D])</f>
        <v>1.8</v>
      </c>
      <c r="I421" s="1">
        <f>SUM(Table39101218212631333536414246[C])</f>
        <v>1.9500000000000002</v>
      </c>
    </row>
  </sheetData>
  <sortState xmlns:xlrd2="http://schemas.microsoft.com/office/spreadsheetml/2017/richdata2" ref="K363:L378">
    <sortCondition ref="K363:K378"/>
  </sortState>
  <phoneticPr fontId="16" type="noConversion"/>
  <conditionalFormatting sqref="AG1:AG1048576">
    <cfRule type="cellIs" dxfId="368" priority="1" operator="equal">
      <formula>6</formula>
    </cfRule>
  </conditionalFormatting>
  <pageMargins left="0.25" right="0.25" top="0.75" bottom="0.75" header="0.3" footer="0.3"/>
  <pageSetup orientation="landscape" horizontalDpi="4294967293" r:id="rId1"/>
  <headerFooter>
    <oddHeader>&amp;L2025 Course Bundles&amp;RIndigo Water Group</oddHeader>
    <oddFooter>&amp;LWARNING: Each course may be completed multiple times but TUs or CEUs will only be issued the first time a course is completed per CDPHE policy.</oddFooter>
  </headerFooter>
  <rowBreaks count="13" manualBreakCount="13">
    <brk id="27" max="8" man="1"/>
    <brk id="52" max="8" man="1"/>
    <brk id="78" max="8" man="1"/>
    <brk id="112" max="8" man="1"/>
    <brk id="134" max="8" man="1"/>
    <brk id="160" max="8" man="1"/>
    <brk id="190" max="8" man="1"/>
    <brk id="221" max="8" man="1"/>
    <brk id="274" max="8" man="1"/>
    <brk id="306" max="8" man="1"/>
    <brk id="339" max="8" man="1"/>
    <brk id="371" max="8" man="1"/>
    <brk id="401" max="8" man="1"/>
  </rowBreaks>
  <tableParts count="30">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J42"/>
  <sheetViews>
    <sheetView workbookViewId="0">
      <selection activeCell="B26" sqref="B26"/>
    </sheetView>
  </sheetViews>
  <sheetFormatPr defaultRowHeight="15" x14ac:dyDescent="0.2"/>
  <cols>
    <col min="1" max="1" width="22.140625" style="14" customWidth="1"/>
    <col min="2" max="2" width="60" style="14" customWidth="1"/>
    <col min="3" max="3" width="27.7109375" style="14" customWidth="1"/>
    <col min="4" max="4" width="48.28515625" style="14" hidden="1" customWidth="1"/>
    <col min="5" max="5" width="12.5703125" style="14" customWidth="1"/>
    <col min="6" max="10" width="14.28515625" style="14" customWidth="1"/>
    <col min="11" max="16384" width="9.140625" style="14"/>
  </cols>
  <sheetData>
    <row r="1" spans="1:10" ht="20.25" x14ac:dyDescent="0.3">
      <c r="A1" s="8" t="s">
        <v>247</v>
      </c>
    </row>
    <row r="3" spans="1:10" ht="15.75" x14ac:dyDescent="0.25">
      <c r="A3" s="4" t="s">
        <v>256</v>
      </c>
      <c r="B3" s="4" t="s">
        <v>249</v>
      </c>
      <c r="C3" s="15" t="s">
        <v>250</v>
      </c>
      <c r="D3" s="15" t="s">
        <v>251</v>
      </c>
      <c r="E3" s="15" t="s">
        <v>252</v>
      </c>
      <c r="F3" s="15" t="s">
        <v>22</v>
      </c>
      <c r="G3" s="15" t="s">
        <v>23</v>
      </c>
      <c r="H3" s="15" t="s">
        <v>26</v>
      </c>
      <c r="I3" s="15" t="s">
        <v>25</v>
      </c>
      <c r="J3" s="15" t="s">
        <v>24</v>
      </c>
    </row>
    <row r="4" spans="1:10" x14ac:dyDescent="0.2">
      <c r="A4" s="14" t="s">
        <v>52</v>
      </c>
      <c r="B4" s="14" t="str">
        <f>LOOKUP($A4,'Learning Paths'!$X:$X,'Learning Paths'!Y:Y)</f>
        <v>Pumps</v>
      </c>
      <c r="C4" s="16" t="str">
        <f>LOOKUP($A4,'Learning Paths'!$X:$X,'Learning Paths'!Z:Z)</f>
        <v>25-06046-002</v>
      </c>
      <c r="D4" s="16">
        <f>LOOKUP($A4,'Learning Paths'!$X:$X,'Learning Paths'!AA:AA)</f>
        <v>0.2</v>
      </c>
      <c r="E4" s="16">
        <f>LOOKUP($A4,'Learning Paths'!$X:$X,'Learning Paths'!AA:AA)</f>
        <v>0.2</v>
      </c>
      <c r="F4" s="16">
        <f>LOOKUP($A4,'Learning Paths'!$X:$X,'Learning Paths'!AB:AB)</f>
        <v>0.2</v>
      </c>
      <c r="G4" s="16">
        <f>LOOKUP($A4,'Learning Paths'!$X:$X,'Learning Paths'!AC:AC)</f>
        <v>0.2</v>
      </c>
      <c r="H4" s="16">
        <f>LOOKUP($A4,'Learning Paths'!$X:$X,'Learning Paths'!AD:AD)</f>
        <v>0.2</v>
      </c>
      <c r="I4" s="16">
        <f>LOOKUP($A4,'Learning Paths'!$X:$X,'Learning Paths'!AE:AE)</f>
        <v>0.2</v>
      </c>
      <c r="J4" s="16">
        <f>LOOKUP($A4,'Learning Paths'!$X:$X,'Learning Paths'!AF:AF)</f>
        <v>0.2</v>
      </c>
    </row>
    <row r="5" spans="1:10" x14ac:dyDescent="0.2">
      <c r="A5" s="14" t="s">
        <v>55</v>
      </c>
      <c r="B5" s="14" t="str">
        <f>LOOKUP($A5,'Learning Paths'!$X:$X,'Learning Paths'!Y:Y)</f>
        <v>Aeration Systems</v>
      </c>
      <c r="C5" s="16" t="str">
        <f>LOOKUP($A5,'Learning Paths'!$X:$X,'Learning Paths'!Z:Z)</f>
        <v>25-09505-001</v>
      </c>
      <c r="D5" s="16">
        <f>LOOKUP($A5,'Learning Paths'!$X:$X,'Learning Paths'!AA:AA)</f>
        <v>0.15</v>
      </c>
      <c r="E5" s="16">
        <f>LOOKUP($A5,'Learning Paths'!$X:$X,'Learning Paths'!AA:AA)</f>
        <v>0.15</v>
      </c>
      <c r="F5" s="16">
        <f>LOOKUP($A5,'Learning Paths'!$X:$X,'Learning Paths'!AB:AB)</f>
        <v>0.15</v>
      </c>
      <c r="G5" s="16">
        <f>LOOKUP($A5,'Learning Paths'!$X:$X,'Learning Paths'!AC:AC)</f>
        <v>0.15</v>
      </c>
      <c r="H5" s="16">
        <f>LOOKUP($A5,'Learning Paths'!$X:$X,'Learning Paths'!AD:AD)</f>
        <v>0.15</v>
      </c>
      <c r="I5" s="16">
        <f>LOOKUP($A5,'Learning Paths'!$X:$X,'Learning Paths'!AE:AE)</f>
        <v>0</v>
      </c>
      <c r="J5" s="16">
        <f>LOOKUP($A5,'Learning Paths'!$X:$X,'Learning Paths'!AF:AF)</f>
        <v>0</v>
      </c>
    </row>
    <row r="6" spans="1:10" x14ac:dyDescent="0.2">
      <c r="A6" s="14" t="s">
        <v>107</v>
      </c>
      <c r="B6" s="14" t="str">
        <f>LOOKUP($A6,'Learning Paths'!$X:$X,'Learning Paths'!Y:Y)</f>
        <v>Electrical Fundamentals</v>
      </c>
      <c r="C6" s="16" t="str">
        <f>LOOKUP($A6,'Learning Paths'!$X:$X,'Learning Paths'!Z:Z)</f>
        <v>25-05994-001</v>
      </c>
      <c r="D6" s="16">
        <f>LOOKUP($A6,'Learning Paths'!$X:$X,'Learning Paths'!AA:AA)</f>
        <v>0.15</v>
      </c>
      <c r="E6" s="16">
        <f>LOOKUP($A6,'Learning Paths'!$X:$X,'Learning Paths'!AA:AA)</f>
        <v>0.15</v>
      </c>
      <c r="F6" s="16">
        <f>LOOKUP($A6,'Learning Paths'!$X:$X,'Learning Paths'!AB:AB)</f>
        <v>0.15</v>
      </c>
      <c r="G6" s="16">
        <f>LOOKUP($A6,'Learning Paths'!$X:$X,'Learning Paths'!AC:AC)</f>
        <v>0.15</v>
      </c>
      <c r="H6" s="16">
        <f>LOOKUP($A6,'Learning Paths'!$X:$X,'Learning Paths'!AD:AD)</f>
        <v>0.15</v>
      </c>
      <c r="I6" s="16">
        <f>LOOKUP($A6,'Learning Paths'!$X:$X,'Learning Paths'!AE:AE)</f>
        <v>0.15</v>
      </c>
      <c r="J6" s="16">
        <f>LOOKUP($A6,'Learning Paths'!$X:$X,'Learning Paths'!AF:AF)</f>
        <v>0.15</v>
      </c>
    </row>
    <row r="7" spans="1:10" x14ac:dyDescent="0.2">
      <c r="A7" s="14" t="s">
        <v>108</v>
      </c>
      <c r="B7" s="14" t="str">
        <f>LOOKUP($A7,'Learning Paths'!$X:$X,'Learning Paths'!Y:Y)</f>
        <v>Representative Sampling</v>
      </c>
      <c r="C7" s="16" t="str">
        <f>LOOKUP($A7,'Learning Paths'!$X:$X,'Learning Paths'!Z:Z)</f>
        <v>25-05995-002</v>
      </c>
      <c r="D7" s="16">
        <f>LOOKUP($A7,'Learning Paths'!$X:$X,'Learning Paths'!AA:AA)</f>
        <v>0.15</v>
      </c>
      <c r="E7" s="16">
        <f>LOOKUP($A7,'Learning Paths'!$X:$X,'Learning Paths'!AA:AA)</f>
        <v>0.15</v>
      </c>
      <c r="F7" s="16">
        <f>LOOKUP($A7,'Learning Paths'!$X:$X,'Learning Paths'!AB:AB)</f>
        <v>0.15</v>
      </c>
      <c r="G7" s="16">
        <f>LOOKUP($A7,'Learning Paths'!$X:$X,'Learning Paths'!AC:AC)</f>
        <v>0.15</v>
      </c>
      <c r="H7" s="16">
        <f>LOOKUP($A7,'Learning Paths'!$X:$X,'Learning Paths'!AD:AD)</f>
        <v>0.15</v>
      </c>
      <c r="I7" s="16">
        <f>LOOKUP($A7,'Learning Paths'!$X:$X,'Learning Paths'!AE:AE)</f>
        <v>0.15</v>
      </c>
      <c r="J7" s="16">
        <f>LOOKUP($A7,'Learning Paths'!$X:$X,'Learning Paths'!AF:AF)</f>
        <v>0.15</v>
      </c>
    </row>
    <row r="8" spans="1:10" x14ac:dyDescent="0.2">
      <c r="A8" s="14" t="s">
        <v>1056</v>
      </c>
      <c r="B8" s="14" t="str">
        <f>LOOKUP($A8,'Learning Paths'!$X:$X,'Learning Paths'!Y:Y)</f>
        <v>Backflow Preventers</v>
      </c>
      <c r="C8" s="16" t="str">
        <f>LOOKUP($A8,'Learning Paths'!$X:$X,'Learning Paths'!Z:Z)</f>
        <v>25-08959-001</v>
      </c>
      <c r="D8" s="16">
        <f>LOOKUP($A8,'Learning Paths'!$X:$X,'Learning Paths'!AA:AA)</f>
        <v>0.05</v>
      </c>
      <c r="E8" s="16">
        <f>LOOKUP($A8,'Learning Paths'!$X:$X,'Learning Paths'!AA:AA)</f>
        <v>0.05</v>
      </c>
      <c r="F8" s="16">
        <f>LOOKUP($A8,'Learning Paths'!$X:$X,'Learning Paths'!AB:AB)</f>
        <v>0.05</v>
      </c>
      <c r="G8" s="16">
        <f>LOOKUP($A8,'Learning Paths'!$X:$X,'Learning Paths'!AC:AC)</f>
        <v>0.05</v>
      </c>
      <c r="H8" s="16">
        <f>LOOKUP($A8,'Learning Paths'!$X:$X,'Learning Paths'!AD:AD)</f>
        <v>0.05</v>
      </c>
      <c r="I8" s="16">
        <f>LOOKUP($A8,'Learning Paths'!$X:$X,'Learning Paths'!AE:AE)</f>
        <v>0.05</v>
      </c>
      <c r="J8" s="16">
        <f>LOOKUP($A8,'Learning Paths'!$X:$X,'Learning Paths'!AF:AF)</f>
        <v>0.05</v>
      </c>
    </row>
    <row r="9" spans="1:10" x14ac:dyDescent="0.2">
      <c r="A9" s="14" t="s">
        <v>60</v>
      </c>
      <c r="B9" s="14" t="str">
        <f>LOOKUP($A9,'Learning Paths'!$X:$X,'Learning Paths'!Y:Y)</f>
        <v>Lift Stations</v>
      </c>
      <c r="C9" s="18" t="str">
        <f>LOOKUP($A9,'Learning Paths'!$X:$X,'Learning Paths'!Z:Z)</f>
        <v>25-06003-001</v>
      </c>
      <c r="D9" s="18">
        <f>LOOKUP($A9,'Learning Paths'!$X:$X,'Learning Paths'!AA:AA)</f>
        <v>0.2</v>
      </c>
      <c r="E9" s="16">
        <f>LOOKUP($A9,'Learning Paths'!$X:$X,'Learning Paths'!AA:AA)</f>
        <v>0.2</v>
      </c>
      <c r="F9" s="18">
        <f>LOOKUP($A9,'Learning Paths'!$X:$X,'Learning Paths'!AB:AB)</f>
        <v>0</v>
      </c>
      <c r="G9" s="18">
        <f>LOOKUP($A9,'Learning Paths'!$X:$X,'Learning Paths'!AC:AC)</f>
        <v>0.2</v>
      </c>
      <c r="H9" s="18">
        <f>LOOKUP($A9,'Learning Paths'!$X:$X,'Learning Paths'!AD:AD)</f>
        <v>0.2</v>
      </c>
      <c r="I9" s="18">
        <f>LOOKUP($A9,'Learning Paths'!$X:$X,'Learning Paths'!AE:AE)</f>
        <v>0</v>
      </c>
      <c r="J9" s="18">
        <f>LOOKUP($A9,'Learning Paths'!$X:$X,'Learning Paths'!AF:AF)</f>
        <v>0.2</v>
      </c>
    </row>
    <row r="10" spans="1:10" x14ac:dyDescent="0.2">
      <c r="A10" s="14" t="s">
        <v>497</v>
      </c>
      <c r="B10" s="14" t="str">
        <f>LOOKUP($A10,'Learning Paths'!$X:$X,'Learning Paths'!Y:Y)</f>
        <v>Laboratory - Total Suspended Solids</v>
      </c>
      <c r="C10" s="16" t="str">
        <f>LOOKUP($A10,'Learning Paths'!$X:$X,'Learning Paths'!Z:Z)</f>
        <v>25-06028-001</v>
      </c>
      <c r="D10" s="16">
        <f>LOOKUP($A10,'Learning Paths'!$X:$X,'Learning Paths'!AA:AA)</f>
        <v>0.1</v>
      </c>
      <c r="E10" s="16">
        <f>LOOKUP($A10,'Learning Paths'!$X:$X,'Learning Paths'!AA:AA)</f>
        <v>0.1</v>
      </c>
      <c r="F10" s="16">
        <f>LOOKUP($A10,'Learning Paths'!$X:$X,'Learning Paths'!AB:AB)</f>
        <v>0.1</v>
      </c>
      <c r="G10" s="16">
        <f>LOOKUP($A10,'Learning Paths'!$X:$X,'Learning Paths'!AC:AC)</f>
        <v>0.1</v>
      </c>
      <c r="H10" s="16">
        <f>LOOKUP($A10,'Learning Paths'!$X:$X,'Learning Paths'!AD:AD)</f>
        <v>0.1</v>
      </c>
      <c r="I10" s="16">
        <f>LOOKUP($A10,'Learning Paths'!$X:$X,'Learning Paths'!AE:AE)</f>
        <v>0</v>
      </c>
      <c r="J10" s="16">
        <f>LOOKUP($A10,'Learning Paths'!$X:$X,'Learning Paths'!AF:AF)</f>
        <v>0</v>
      </c>
    </row>
    <row r="11" spans="1:10" x14ac:dyDescent="0.2">
      <c r="A11" s="14" t="s">
        <v>503</v>
      </c>
      <c r="B11" s="14" t="str">
        <f>LOOKUP($A11,'Learning Paths'!$X:$X,'Learning Paths'!Y:Y)</f>
        <v>Laboratory Testing - Biochemical Oxygen Demand</v>
      </c>
      <c r="C11" s="16" t="str">
        <f>LOOKUP($A11,'Learning Paths'!$X:$X,'Learning Paths'!Z:Z)</f>
        <v>25-07744-001</v>
      </c>
      <c r="D11" s="16">
        <f>LOOKUP($A11,'Learning Paths'!$X:$X,'Learning Paths'!AA:AA)</f>
        <v>0.2</v>
      </c>
      <c r="E11" s="16">
        <f>LOOKUP($A11,'Learning Paths'!$X:$X,'Learning Paths'!AA:AA)</f>
        <v>0.2</v>
      </c>
      <c r="F11" s="16">
        <f>LOOKUP($A11,'Learning Paths'!$X:$X,'Learning Paths'!AB:AB)</f>
        <v>0</v>
      </c>
      <c r="G11" s="16">
        <f>LOOKUP($A11,'Learning Paths'!$X:$X,'Learning Paths'!AC:AC)</f>
        <v>0.2</v>
      </c>
      <c r="H11" s="16">
        <f>LOOKUP($A11,'Learning Paths'!$X:$X,'Learning Paths'!AD:AD)</f>
        <v>0.2</v>
      </c>
      <c r="I11" s="16">
        <f>LOOKUP($A11,'Learning Paths'!$X:$X,'Learning Paths'!AE:AE)</f>
        <v>0</v>
      </c>
      <c r="J11" s="16">
        <f>LOOKUP($A11,'Learning Paths'!$X:$X,'Learning Paths'!AF:AF)</f>
        <v>0.2</v>
      </c>
    </row>
    <row r="12" spans="1:10" x14ac:dyDescent="0.2">
      <c r="A12" s="14" t="s">
        <v>180</v>
      </c>
      <c r="B12" s="14" t="str">
        <f>LOOKUP($A12,'Learning Paths'!$X:$X,'Learning Paths'!Y:Y)</f>
        <v>Math Strategies for Success</v>
      </c>
      <c r="C12" s="16" t="str">
        <f>LOOKUP($A12,'Learning Paths'!$X:$X,'Learning Paths'!Z:Z)</f>
        <v>25-05983-002</v>
      </c>
      <c r="D12" s="16">
        <f>LOOKUP($A12,'Learning Paths'!$X:$X,'Learning Paths'!AA:AA)</f>
        <v>0.1</v>
      </c>
      <c r="E12" s="16">
        <f>LOOKUP($A12,'Learning Paths'!$X:$X,'Learning Paths'!AA:AA)</f>
        <v>0.1</v>
      </c>
      <c r="F12" s="16">
        <f>LOOKUP($A12,'Learning Paths'!$X:$X,'Learning Paths'!AB:AB)</f>
        <v>0.1</v>
      </c>
      <c r="G12" s="16">
        <f>LOOKUP($A12,'Learning Paths'!$X:$X,'Learning Paths'!AC:AC)</f>
        <v>0.1</v>
      </c>
      <c r="H12" s="16">
        <f>LOOKUP($A12,'Learning Paths'!$X:$X,'Learning Paths'!AD:AD)</f>
        <v>0.1</v>
      </c>
      <c r="I12" s="16">
        <f>LOOKUP($A12,'Learning Paths'!$X:$X,'Learning Paths'!AE:AE)</f>
        <v>0.1</v>
      </c>
      <c r="J12" s="16">
        <f>LOOKUP($A12,'Learning Paths'!$X:$X,'Learning Paths'!AF:AF)</f>
        <v>0.1</v>
      </c>
    </row>
    <row r="13" spans="1:10" x14ac:dyDescent="0.2">
      <c r="A13" s="14" t="s">
        <v>50</v>
      </c>
      <c r="B13" s="14" t="str">
        <f>LOOKUP($A13,'Learning Paths'!$X:$X,'Learning Paths'!Y:Y)</f>
        <v>Unit Conversions</v>
      </c>
      <c r="C13" s="16" t="str">
        <f>LOOKUP($A13,'Learning Paths'!$X:$X,'Learning Paths'!Z:Z)</f>
        <v>25-05984-002</v>
      </c>
      <c r="D13" s="16">
        <f>LOOKUP($A13,'Learning Paths'!$X:$X,'Learning Paths'!AA:AA)</f>
        <v>0.05</v>
      </c>
      <c r="E13" s="16">
        <f>LOOKUP($A13,'Learning Paths'!$X:$X,'Learning Paths'!AA:AA)</f>
        <v>0.05</v>
      </c>
      <c r="F13" s="16">
        <f>LOOKUP($A13,'Learning Paths'!$X:$X,'Learning Paths'!AB:AB)</f>
        <v>0.05</v>
      </c>
      <c r="G13" s="16">
        <f>LOOKUP($A13,'Learning Paths'!$X:$X,'Learning Paths'!AC:AC)</f>
        <v>0.05</v>
      </c>
      <c r="H13" s="16">
        <f>LOOKUP($A13,'Learning Paths'!$X:$X,'Learning Paths'!AD:AD)</f>
        <v>0.05</v>
      </c>
      <c r="I13" s="16">
        <f>LOOKUP($A13,'Learning Paths'!$X:$X,'Learning Paths'!AE:AE)</f>
        <v>0.05</v>
      </c>
      <c r="J13" s="16">
        <f>LOOKUP($A13,'Learning Paths'!$X:$X,'Learning Paths'!AF:AF)</f>
        <v>0.05</v>
      </c>
    </row>
    <row r="14" spans="1:10" x14ac:dyDescent="0.2">
      <c r="A14" s="14" t="s">
        <v>51</v>
      </c>
      <c r="B14" s="14" t="str">
        <f>LOOKUP($A14,'Learning Paths'!$X:$X,'Learning Paths'!Y:Y)</f>
        <v>Geometry</v>
      </c>
      <c r="C14" s="16" t="str">
        <f>LOOKUP($A14,'Learning Paths'!$X:$X,'Learning Paths'!Z:Z)</f>
        <v>25-05985-002</v>
      </c>
      <c r="D14" s="16">
        <f>LOOKUP($A14,'Learning Paths'!$X:$X,'Learning Paths'!AA:AA)</f>
        <v>0.05</v>
      </c>
      <c r="E14" s="16">
        <f>LOOKUP($A14,'Learning Paths'!$X:$X,'Learning Paths'!AA:AA)</f>
        <v>0.05</v>
      </c>
      <c r="F14" s="16">
        <f>LOOKUP($A14,'Learning Paths'!$X:$X,'Learning Paths'!AB:AB)</f>
        <v>0.05</v>
      </c>
      <c r="G14" s="16">
        <f>LOOKUP($A14,'Learning Paths'!$X:$X,'Learning Paths'!AC:AC)</f>
        <v>0.05</v>
      </c>
      <c r="H14" s="16">
        <f>LOOKUP($A14,'Learning Paths'!$X:$X,'Learning Paths'!AD:AD)</f>
        <v>0.05</v>
      </c>
      <c r="I14" s="16">
        <f>LOOKUP($A14,'Learning Paths'!$X:$X,'Learning Paths'!AE:AE)</f>
        <v>0.05</v>
      </c>
      <c r="J14" s="16">
        <f>LOOKUP($A14,'Learning Paths'!$X:$X,'Learning Paths'!AF:AF)</f>
        <v>0.05</v>
      </c>
    </row>
    <row r="15" spans="1:10" x14ac:dyDescent="0.2">
      <c r="A15" s="14" t="s">
        <v>205</v>
      </c>
      <c r="B15" s="14" t="str">
        <f>LOOKUP($A15,'Learning Paths'!$X:$X,'Learning Paths'!Y:Y)</f>
        <v>Chemical Dosing</v>
      </c>
      <c r="C15" s="16" t="str">
        <f>LOOKUP($A15,'Learning Paths'!$X:$X,'Learning Paths'!Z:Z)</f>
        <v>25-05986-002</v>
      </c>
      <c r="D15" s="16">
        <f>LOOKUP($A15,'Learning Paths'!$X:$X,'Learning Paths'!AA:AA)</f>
        <v>0.05</v>
      </c>
      <c r="E15" s="16">
        <f>LOOKUP($A15,'Learning Paths'!$X:$X,'Learning Paths'!AA:AA)</f>
        <v>0.05</v>
      </c>
      <c r="F15" s="16">
        <f>LOOKUP($A15,'Learning Paths'!$X:$X,'Learning Paths'!AB:AB)</f>
        <v>0.05</v>
      </c>
      <c r="G15" s="16">
        <f>LOOKUP($A15,'Learning Paths'!$X:$X,'Learning Paths'!AC:AC)</f>
        <v>0.05</v>
      </c>
      <c r="H15" s="16">
        <f>LOOKUP($A15,'Learning Paths'!$X:$X,'Learning Paths'!AD:AD)</f>
        <v>0.05</v>
      </c>
      <c r="I15" s="16">
        <f>LOOKUP($A15,'Learning Paths'!$X:$X,'Learning Paths'!AE:AE)</f>
        <v>0.05</v>
      </c>
      <c r="J15" s="16">
        <f>LOOKUP($A15,'Learning Paths'!$X:$X,'Learning Paths'!AF:AF)</f>
        <v>0.05</v>
      </c>
    </row>
    <row r="16" spans="1:10" x14ac:dyDescent="0.2">
      <c r="A16" s="14" t="s">
        <v>64</v>
      </c>
      <c r="B16" s="14" t="str">
        <f>LOOKUP($A16,'Learning Paths'!$X:$X,'Learning Paths'!Y:Y)</f>
        <v>Introduction to Wastewater:  A Plant Overview</v>
      </c>
      <c r="C16" s="16" t="str">
        <f>LOOKUP($A16,'Learning Paths'!$X:$X,'Learning Paths'!Z:Z)</f>
        <v>25-06006-001</v>
      </c>
      <c r="D16" s="16">
        <f>LOOKUP($A16,'Learning Paths'!$X:$X,'Learning Paths'!AA:AA)</f>
        <v>0.2</v>
      </c>
      <c r="E16" s="16">
        <f>LOOKUP($A16,'Learning Paths'!$X:$X,'Learning Paths'!AA:AA)</f>
        <v>0.2</v>
      </c>
      <c r="F16" s="16">
        <f>LOOKUP($A16,'Learning Paths'!$X:$X,'Learning Paths'!AB:AB)</f>
        <v>0</v>
      </c>
      <c r="G16" s="16">
        <f>LOOKUP($A16,'Learning Paths'!$X:$X,'Learning Paths'!AC:AC)</f>
        <v>0.2</v>
      </c>
      <c r="H16" s="16">
        <f>LOOKUP($A16,'Learning Paths'!$X:$X,'Learning Paths'!AD:AD)</f>
        <v>0.2</v>
      </c>
      <c r="I16" s="16">
        <f>LOOKUP($A16,'Learning Paths'!$X:$X,'Learning Paths'!AE:AE)</f>
        <v>0</v>
      </c>
      <c r="J16" s="16">
        <f>LOOKUP($A16,'Learning Paths'!$X:$X,'Learning Paths'!AF:AF)</f>
        <v>0</v>
      </c>
    </row>
    <row r="17" spans="1:10" x14ac:dyDescent="0.2">
      <c r="A17" s="14" t="s">
        <v>492</v>
      </c>
      <c r="B17" s="14" t="str">
        <f>LOOKUP($A17,'Learning Paths'!$X:$X,'Learning Paths'!Y:Y)</f>
        <v>What's In My Wastewater: Definitions and Typical Ratios</v>
      </c>
      <c r="C17" s="16" t="str">
        <f>LOOKUP($A17,'Learning Paths'!$X:$X,'Learning Paths'!Z:Z)</f>
        <v>25-06007-001</v>
      </c>
      <c r="D17" s="16">
        <f>LOOKUP($A17,'Learning Paths'!$X:$X,'Learning Paths'!AA:AA)</f>
        <v>0.15</v>
      </c>
      <c r="E17" s="16">
        <f>LOOKUP($A17,'Learning Paths'!$X:$X,'Learning Paths'!AA:AA)</f>
        <v>0.15</v>
      </c>
      <c r="F17" s="16">
        <f>LOOKUP($A17,'Learning Paths'!$X:$X,'Learning Paths'!AB:AB)</f>
        <v>0</v>
      </c>
      <c r="G17" s="16">
        <f>LOOKUP($A17,'Learning Paths'!$X:$X,'Learning Paths'!AC:AC)</f>
        <v>0.15</v>
      </c>
      <c r="H17" s="16">
        <f>LOOKUP($A17,'Learning Paths'!$X:$X,'Learning Paths'!AD:AD)</f>
        <v>0.15</v>
      </c>
      <c r="I17" s="16">
        <f>LOOKUP($A17,'Learning Paths'!$X:$X,'Learning Paths'!AE:AE)</f>
        <v>0</v>
      </c>
      <c r="J17" s="16">
        <f>LOOKUP($A17,'Learning Paths'!$X:$X,'Learning Paths'!AF:AF)</f>
        <v>0</v>
      </c>
    </row>
    <row r="18" spans="1:10" x14ac:dyDescent="0.2">
      <c r="A18" s="14" t="s">
        <v>65</v>
      </c>
      <c r="B18" s="14" t="str">
        <f>LOOKUP($A18,'Learning Paths'!$X:$X,'Learning Paths'!Y:Y)</f>
        <v>Preliminary Treatment</v>
      </c>
      <c r="C18" s="16" t="str">
        <f>LOOKUP($A18,'Learning Paths'!$X:$X,'Learning Paths'!Z:Z)</f>
        <v>25-09381-001</v>
      </c>
      <c r="D18" s="16">
        <f>LOOKUP($A18,'Learning Paths'!$X:$X,'Learning Paths'!AA:AA)</f>
        <v>0.1</v>
      </c>
      <c r="E18" s="16">
        <f>LOOKUP($A18,'Learning Paths'!$X:$X,'Learning Paths'!AA:AA)</f>
        <v>0.1</v>
      </c>
      <c r="F18" s="16">
        <f>LOOKUP($A18,'Learning Paths'!$X:$X,'Learning Paths'!AB:AB)</f>
        <v>0.05</v>
      </c>
      <c r="G18" s="16">
        <f>LOOKUP($A18,'Learning Paths'!$X:$X,'Learning Paths'!AC:AC)</f>
        <v>0.1</v>
      </c>
      <c r="H18" s="16">
        <f>LOOKUP($A18,'Learning Paths'!$X:$X,'Learning Paths'!AD:AD)</f>
        <v>0.1</v>
      </c>
      <c r="I18" s="16">
        <f>LOOKUP($A18,'Learning Paths'!$X:$X,'Learning Paths'!AE:AE)</f>
        <v>0</v>
      </c>
      <c r="J18" s="16">
        <f>LOOKUP($A18,'Learning Paths'!$X:$X,'Learning Paths'!AF:AF)</f>
        <v>0.05</v>
      </c>
    </row>
    <row r="19" spans="1:10" x14ac:dyDescent="0.2">
      <c r="A19" s="14" t="s">
        <v>66</v>
      </c>
      <c r="B19" s="14" t="str">
        <f>LOOKUP($A19,'Learning Paths'!$X:$X,'Learning Paths'!Y:Y)</f>
        <v xml:space="preserve">Primary Treatment </v>
      </c>
      <c r="C19" s="16" t="str">
        <f>LOOKUP($A19,'Learning Paths'!$X:$X,'Learning Paths'!Z:Z)</f>
        <v>25-09382-001</v>
      </c>
      <c r="D19" s="16">
        <f>LOOKUP($A19,'Learning Paths'!$X:$X,'Learning Paths'!AA:AA)</f>
        <v>0.2</v>
      </c>
      <c r="E19" s="16">
        <f>LOOKUP($A19,'Learning Paths'!$X:$X,'Learning Paths'!AA:AA)</f>
        <v>0.2</v>
      </c>
      <c r="F19" s="16">
        <f>LOOKUP($A19,'Learning Paths'!$X:$X,'Learning Paths'!AB:AB)</f>
        <v>0</v>
      </c>
      <c r="G19" s="16">
        <f>LOOKUP($A19,'Learning Paths'!$X:$X,'Learning Paths'!AC:AC)</f>
        <v>0.2</v>
      </c>
      <c r="H19" s="16">
        <f>LOOKUP($A19,'Learning Paths'!$X:$X,'Learning Paths'!AD:AD)</f>
        <v>0.2</v>
      </c>
      <c r="I19" s="16">
        <f>LOOKUP($A19,'Learning Paths'!$X:$X,'Learning Paths'!AE:AE)</f>
        <v>0</v>
      </c>
      <c r="J19" s="16">
        <f>LOOKUP($A19,'Learning Paths'!$X:$X,'Learning Paths'!AF:AF)</f>
        <v>0</v>
      </c>
    </row>
    <row r="20" spans="1:10" x14ac:dyDescent="0.2">
      <c r="A20" s="14" t="s">
        <v>68</v>
      </c>
      <c r="B20" s="14" t="str">
        <f>LOOKUP($A20,'Learning Paths'!$X:$X,'Learning Paths'!Y:Y)</f>
        <v>Fixed Film: Trickling Filters and RBCs</v>
      </c>
      <c r="C20" s="16" t="str">
        <f>LOOKUP($A20,'Learning Paths'!$X:$X,'Learning Paths'!Z:Z)</f>
        <v>25-06008-001</v>
      </c>
      <c r="D20" s="16">
        <f>LOOKUP($A20,'Learning Paths'!$X:$X,'Learning Paths'!AA:AA)</f>
        <v>0.2</v>
      </c>
      <c r="E20" s="16">
        <f>LOOKUP($A20,'Learning Paths'!$X:$X,'Learning Paths'!AA:AA)</f>
        <v>0.2</v>
      </c>
      <c r="F20" s="16">
        <f>LOOKUP($A20,'Learning Paths'!$X:$X,'Learning Paths'!AB:AB)</f>
        <v>0</v>
      </c>
      <c r="G20" s="16">
        <f>LOOKUP($A20,'Learning Paths'!$X:$X,'Learning Paths'!AC:AC)</f>
        <v>0.2</v>
      </c>
      <c r="H20" s="16">
        <f>LOOKUP($A20,'Learning Paths'!$X:$X,'Learning Paths'!AD:AD)</f>
        <v>0.2</v>
      </c>
      <c r="I20" s="16">
        <f>LOOKUP($A20,'Learning Paths'!$X:$X,'Learning Paths'!AE:AE)</f>
        <v>0</v>
      </c>
      <c r="J20" s="16">
        <f>LOOKUP($A20,'Learning Paths'!$X:$X,'Learning Paths'!AF:AF)</f>
        <v>0</v>
      </c>
    </row>
    <row r="21" spans="1:10" x14ac:dyDescent="0.2">
      <c r="A21" s="14" t="s">
        <v>1793</v>
      </c>
      <c r="B21" s="14" t="str">
        <f>LOOKUP($A21,'Learning Paths'!$X:$X,'Learning Paths'!Y:Y)</f>
        <v>Wastewater Treatment Lagoons</v>
      </c>
      <c r="C21" s="16" t="str">
        <f>LOOKUP($A21,'Learning Paths'!$X:$X,'Learning Paths'!Z:Z)</f>
        <v>25-10618-001</v>
      </c>
      <c r="D21" s="16">
        <f>LOOKUP($A21,'Learning Paths'!$X:$X,'Learning Paths'!AA:AA)</f>
        <v>0.2</v>
      </c>
      <c r="E21" s="16">
        <f>LOOKUP($A21,'Learning Paths'!$X:$X,'Learning Paths'!AA:AA)</f>
        <v>0.2</v>
      </c>
      <c r="F21" s="16">
        <f>LOOKUP($A21,'Learning Paths'!$X:$X,'Learning Paths'!AB:AB)</f>
        <v>0</v>
      </c>
      <c r="G21" s="16">
        <f>LOOKUP($A21,'Learning Paths'!$X:$X,'Learning Paths'!AC:AC)</f>
        <v>0.2</v>
      </c>
      <c r="H21" s="16">
        <f>LOOKUP($A21,'Learning Paths'!$X:$X,'Learning Paths'!AD:AD)</f>
        <v>0.2</v>
      </c>
      <c r="I21" s="16">
        <f>LOOKUP($A21,'Learning Paths'!$X:$X,'Learning Paths'!AE:AE)</f>
        <v>0</v>
      </c>
      <c r="J21" s="16">
        <f>LOOKUP($A21,'Learning Paths'!$X:$X,'Learning Paths'!AF:AF)</f>
        <v>0</v>
      </c>
    </row>
    <row r="22" spans="1:10" x14ac:dyDescent="0.2">
      <c r="A22" s="14" t="s">
        <v>72</v>
      </c>
      <c r="B22" s="14" t="str">
        <f>LOOKUP($A22,'Learning Paths'!$X:$X,'Learning Paths'!Y:Y)</f>
        <v>Activated Sludge Basics: A Mechanical Approach</v>
      </c>
      <c r="C22" s="16" t="str">
        <f>LOOKUP($A22,'Learning Paths'!$X:$X,'Learning Paths'!Z:Z)</f>
        <v>25-06012-001</v>
      </c>
      <c r="D22" s="16">
        <f>LOOKUP($A22,'Learning Paths'!$X:$X,'Learning Paths'!AA:AA)</f>
        <v>0.2</v>
      </c>
      <c r="E22" s="16">
        <f>LOOKUP($A22,'Learning Paths'!$X:$X,'Learning Paths'!AA:AA)</f>
        <v>0.2</v>
      </c>
      <c r="F22" s="16">
        <f>LOOKUP($A22,'Learning Paths'!$X:$X,'Learning Paths'!AB:AB)</f>
        <v>0</v>
      </c>
      <c r="G22" s="16">
        <f>LOOKUP($A22,'Learning Paths'!$X:$X,'Learning Paths'!AC:AC)</f>
        <v>0.2</v>
      </c>
      <c r="H22" s="16">
        <f>LOOKUP($A22,'Learning Paths'!$X:$X,'Learning Paths'!AD:AD)</f>
        <v>0.2</v>
      </c>
      <c r="I22" s="16">
        <f>LOOKUP($A22,'Learning Paths'!$X:$X,'Learning Paths'!AE:AE)</f>
        <v>0</v>
      </c>
      <c r="J22" s="16">
        <f>LOOKUP($A22,'Learning Paths'!$X:$X,'Learning Paths'!AF:AF)</f>
        <v>0</v>
      </c>
    </row>
    <row r="23" spans="1:10" x14ac:dyDescent="0.2">
      <c r="A23" s="14" t="s">
        <v>939</v>
      </c>
      <c r="B23" s="14" t="str">
        <f>LOOKUP($A23,'Learning Paths'!$X:$X,'Learning Paths'!Y:Y)</f>
        <v>Activated Sludge Microbiology: A View Beneath the Surface</v>
      </c>
      <c r="C23" s="16" t="str">
        <f>LOOKUP($A23,'Learning Paths'!$X:$X,'Learning Paths'!Z:Z)</f>
        <v>25-08900-001</v>
      </c>
      <c r="D23" s="16">
        <f>LOOKUP($A23,'Learning Paths'!$X:$X,'Learning Paths'!AA:AA)</f>
        <v>0.1</v>
      </c>
      <c r="E23" s="16">
        <f>LOOKUP($A23,'Learning Paths'!$X:$X,'Learning Paths'!AA:AA)</f>
        <v>0.1</v>
      </c>
      <c r="F23" s="16">
        <f>LOOKUP($A23,'Learning Paths'!$X:$X,'Learning Paths'!AB:AB)</f>
        <v>0</v>
      </c>
      <c r="G23" s="16">
        <f>LOOKUP($A23,'Learning Paths'!$X:$X,'Learning Paths'!AC:AC)</f>
        <v>0.1</v>
      </c>
      <c r="H23" s="16">
        <f>LOOKUP($A23,'Learning Paths'!$X:$X,'Learning Paths'!AD:AD)</f>
        <v>0.1</v>
      </c>
      <c r="I23" s="16">
        <f>LOOKUP($A23,'Learning Paths'!$X:$X,'Learning Paths'!AE:AE)</f>
        <v>0</v>
      </c>
      <c r="J23" s="16">
        <f>LOOKUP($A23,'Learning Paths'!$X:$X,'Learning Paths'!AF:AF)</f>
        <v>0</v>
      </c>
    </row>
    <row r="24" spans="1:10" x14ac:dyDescent="0.2">
      <c r="A24" s="14" t="s">
        <v>940</v>
      </c>
      <c r="B24" s="14" t="str">
        <f>LOOKUP($A24,'Learning Paths'!$X:$X,'Learning Paths'!Y:Y)</f>
        <v>Activated Sludge Microbiology: Microscope Basics and the Micro Exam</v>
      </c>
      <c r="C24" s="16" t="str">
        <f>LOOKUP($A24,'Learning Paths'!$X:$X,'Learning Paths'!Z:Z)</f>
        <v>25-08901-001</v>
      </c>
      <c r="D24" s="16">
        <f>LOOKUP($A24,'Learning Paths'!$X:$X,'Learning Paths'!AA:AA)</f>
        <v>0.1</v>
      </c>
      <c r="E24" s="16">
        <f>LOOKUP($A24,'Learning Paths'!$X:$X,'Learning Paths'!AA:AA)</f>
        <v>0.1</v>
      </c>
      <c r="F24" s="16">
        <f>LOOKUP($A24,'Learning Paths'!$X:$X,'Learning Paths'!AB:AB)</f>
        <v>0</v>
      </c>
      <c r="G24" s="16">
        <f>LOOKUP($A24,'Learning Paths'!$X:$X,'Learning Paths'!AC:AC)</f>
        <v>0.1</v>
      </c>
      <c r="H24" s="16">
        <f>LOOKUP($A24,'Learning Paths'!$X:$X,'Learning Paths'!AD:AD)</f>
        <v>0.1</v>
      </c>
      <c r="I24" s="16">
        <f>LOOKUP($A24,'Learning Paths'!$X:$X,'Learning Paths'!AE:AE)</f>
        <v>0</v>
      </c>
      <c r="J24" s="16">
        <f>LOOKUP($A24,'Learning Paths'!$X:$X,'Learning Paths'!AF:AF)</f>
        <v>0</v>
      </c>
    </row>
    <row r="25" spans="1:10" x14ac:dyDescent="0.2">
      <c r="A25" s="14" t="s">
        <v>74</v>
      </c>
      <c r="B25" s="14" t="str">
        <f>LOOKUP($A25,'Learning Paths'!$X:$X,'Learning Paths'!Y:Y)</f>
        <v>Activated Sludge Microbiology: Filaments and Settling Problems</v>
      </c>
      <c r="C25" s="16" t="str">
        <f>LOOKUP($A25,'Learning Paths'!$X:$X,'Learning Paths'!Z:Z)</f>
        <v>25-08902-001</v>
      </c>
      <c r="D25" s="16">
        <f>LOOKUP($A25,'Learning Paths'!$X:$X,'Learning Paths'!AA:AA)</f>
        <v>0.1</v>
      </c>
      <c r="E25" s="16">
        <f>LOOKUP($A25,'Learning Paths'!$X:$X,'Learning Paths'!AA:AA)</f>
        <v>0.1</v>
      </c>
      <c r="F25" s="16">
        <f>LOOKUP($A25,'Learning Paths'!$X:$X,'Learning Paths'!AB:AB)</f>
        <v>0</v>
      </c>
      <c r="G25" s="16">
        <f>LOOKUP($A25,'Learning Paths'!$X:$X,'Learning Paths'!AC:AC)</f>
        <v>0.1</v>
      </c>
      <c r="H25" s="16">
        <f>LOOKUP($A25,'Learning Paths'!$X:$X,'Learning Paths'!AD:AD)</f>
        <v>0.1</v>
      </c>
      <c r="I25" s="16">
        <f>LOOKUP($A25,'Learning Paths'!$X:$X,'Learning Paths'!AE:AE)</f>
        <v>0</v>
      </c>
      <c r="J25" s="16">
        <f>LOOKUP($A25,'Learning Paths'!$X:$X,'Learning Paths'!AF:AF)</f>
        <v>0</v>
      </c>
    </row>
    <row r="26" spans="1:10" x14ac:dyDescent="0.2">
      <c r="A26" s="14" t="s">
        <v>81</v>
      </c>
      <c r="B26" s="14" t="str">
        <f>LOOKUP($A26,'Learning Paths'!$X:$X,'Learning Paths'!Y:Y)</f>
        <v>Chlorine Disinfection</v>
      </c>
      <c r="C26" s="16" t="str">
        <f>LOOKUP($A26,'Learning Paths'!$X:$X,'Learning Paths'!Z:Z)</f>
        <v>25-06020-001</v>
      </c>
      <c r="D26" s="16">
        <f>LOOKUP($A26,'Learning Paths'!$X:$X,'Learning Paths'!AA:AA)</f>
        <v>0.25</v>
      </c>
      <c r="E26" s="16">
        <f>LOOKUP($A26,'Learning Paths'!$X:$X,'Learning Paths'!AA:AA)</f>
        <v>0.25</v>
      </c>
      <c r="F26" s="16">
        <f>LOOKUP($A26,'Learning Paths'!$X:$X,'Learning Paths'!AB:AB)</f>
        <v>0.25</v>
      </c>
      <c r="G26" s="16">
        <f>LOOKUP($A26,'Learning Paths'!$X:$X,'Learning Paths'!AC:AC)</f>
        <v>0.25</v>
      </c>
      <c r="H26" s="16">
        <f>LOOKUP($A26,'Learning Paths'!$X:$X,'Learning Paths'!AD:AD)</f>
        <v>0.25</v>
      </c>
      <c r="I26" s="16">
        <f>LOOKUP($A26,'Learning Paths'!$X:$X,'Learning Paths'!AE:AE)</f>
        <v>0.25</v>
      </c>
      <c r="J26" s="16">
        <f>LOOKUP($A26,'Learning Paths'!$X:$X,'Learning Paths'!AF:AF)</f>
        <v>0</v>
      </c>
    </row>
    <row r="27" spans="1:10" x14ac:dyDescent="0.2">
      <c r="A27" s="14" t="s">
        <v>84</v>
      </c>
      <c r="B27" s="14" t="str">
        <f>LOOKUP($A27,'Learning Paths'!$X:$X,'Learning Paths'!Y:Y)</f>
        <v>Aerobic and Anaerobic Digestion</v>
      </c>
      <c r="C27" s="16" t="str">
        <f>LOOKUP($A27,'Learning Paths'!$X:$X,'Learning Paths'!Z:Z)</f>
        <v>25-06023-001</v>
      </c>
      <c r="D27" s="16">
        <f>LOOKUP($A27,'Learning Paths'!$X:$X,'Learning Paths'!AA:AA)</f>
        <v>0.3</v>
      </c>
      <c r="E27" s="16">
        <f>LOOKUP($A27,'Learning Paths'!$X:$X,'Learning Paths'!AA:AA)</f>
        <v>0.3</v>
      </c>
      <c r="F27" s="16">
        <f>LOOKUP($A27,'Learning Paths'!$X:$X,'Learning Paths'!AB:AB)</f>
        <v>0</v>
      </c>
      <c r="G27" s="16">
        <f>LOOKUP($A27,'Learning Paths'!$X:$X,'Learning Paths'!AC:AC)</f>
        <v>0.3</v>
      </c>
      <c r="H27" s="16">
        <f>LOOKUP($A27,'Learning Paths'!$X:$X,'Learning Paths'!AD:AD)</f>
        <v>0.3</v>
      </c>
      <c r="I27" s="16">
        <f>LOOKUP($A27,'Learning Paths'!$X:$X,'Learning Paths'!AE:AE)</f>
        <v>0</v>
      </c>
      <c r="J27" s="16">
        <f>LOOKUP($A27,'Learning Paths'!$X:$X,'Learning Paths'!AF:AF)</f>
        <v>0</v>
      </c>
    </row>
    <row r="28" spans="1:10" x14ac:dyDescent="0.2">
      <c r="A28" s="14" t="s">
        <v>85</v>
      </c>
      <c r="B28" s="14" t="str">
        <f>LOOKUP($A28,'Learning Paths'!$X:$X,'Learning Paths'!Y:Y)</f>
        <v>Belt Filter Presses</v>
      </c>
      <c r="C28" s="16" t="str">
        <f>LOOKUP($A28,'Learning Paths'!$X:$X,'Learning Paths'!Z:Z)</f>
        <v>25-06024-001</v>
      </c>
      <c r="D28" s="16">
        <f>LOOKUP($A28,'Learning Paths'!$X:$X,'Learning Paths'!AA:AA)</f>
        <v>0.2</v>
      </c>
      <c r="E28" s="16">
        <f>LOOKUP($A28,'Learning Paths'!$X:$X,'Learning Paths'!AA:AA)</f>
        <v>0.2</v>
      </c>
      <c r="F28" s="16">
        <f>LOOKUP($A28,'Learning Paths'!$X:$X,'Learning Paths'!AB:AB)</f>
        <v>0.2</v>
      </c>
      <c r="G28" s="16">
        <f>LOOKUP($A28,'Learning Paths'!$X:$X,'Learning Paths'!AC:AC)</f>
        <v>0.2</v>
      </c>
      <c r="H28" s="16">
        <f>LOOKUP($A28,'Learning Paths'!$X:$X,'Learning Paths'!AD:AD)</f>
        <v>0.2</v>
      </c>
      <c r="I28" s="16">
        <f>LOOKUP($A28,'Learning Paths'!$X:$X,'Learning Paths'!AE:AE)</f>
        <v>0</v>
      </c>
      <c r="J28" s="16">
        <f>LOOKUP($A28,'Learning Paths'!$X:$X,'Learning Paths'!AF:AF)</f>
        <v>0</v>
      </c>
    </row>
    <row r="29" spans="1:10" x14ac:dyDescent="0.2">
      <c r="A29" s="14" t="s">
        <v>86</v>
      </c>
      <c r="B29" s="14" t="str">
        <f>LOOKUP($A29,'Learning Paths'!$X:$X,'Learning Paths'!Y:Y)</f>
        <v>Centrifuges</v>
      </c>
      <c r="C29" s="16" t="str">
        <f>LOOKUP($A29,'Learning Paths'!$X:$X,'Learning Paths'!Z:Z)</f>
        <v>25-06025-001</v>
      </c>
      <c r="D29" s="16">
        <f>LOOKUP($A29,'Learning Paths'!$X:$X,'Learning Paths'!AA:AA)</f>
        <v>0.2</v>
      </c>
      <c r="E29" s="16">
        <f>LOOKUP($A29,'Learning Paths'!$X:$X,'Learning Paths'!AA:AA)</f>
        <v>0.2</v>
      </c>
      <c r="F29" s="16">
        <f>LOOKUP($A29,'Learning Paths'!$X:$X,'Learning Paths'!AB:AB)</f>
        <v>0.2</v>
      </c>
      <c r="G29" s="16">
        <f>LOOKUP($A29,'Learning Paths'!$X:$X,'Learning Paths'!AC:AC)</f>
        <v>0.2</v>
      </c>
      <c r="H29" s="16">
        <f>LOOKUP($A29,'Learning Paths'!$X:$X,'Learning Paths'!AD:AD)</f>
        <v>0.2</v>
      </c>
      <c r="I29" s="16">
        <f>LOOKUP($A29,'Learning Paths'!$X:$X,'Learning Paths'!AE:AE)</f>
        <v>0</v>
      </c>
      <c r="J29" s="16">
        <f>LOOKUP($A29,'Learning Paths'!$X:$X,'Learning Paths'!AF:AF)</f>
        <v>0</v>
      </c>
    </row>
    <row r="30" spans="1:10" x14ac:dyDescent="0.2">
      <c r="A30" s="14" t="s">
        <v>742</v>
      </c>
      <c r="B30" s="14" t="str">
        <f>LOOKUP($A30,'Learning Paths'!$X:$X,'Learning Paths'!Y:Y)</f>
        <v>MRT for Wastewater Treatment and Collection Systems</v>
      </c>
      <c r="C30" s="16" t="str">
        <f>LOOKUP($A30,'Learning Paths'!$X:$X,'Learning Paths'!Z:Z)</f>
        <v>25-06840-002</v>
      </c>
      <c r="D30" s="16">
        <f>LOOKUP($A30,'Learning Paths'!$X:$X,'Learning Paths'!AA:AA)</f>
        <v>0.25</v>
      </c>
      <c r="E30" s="16">
        <f>LOOKUP($A30,'Learning Paths'!$X:$X,'Learning Paths'!AA:AA)</f>
        <v>0.25</v>
      </c>
      <c r="F30" s="16">
        <f>LOOKUP($A30,'Learning Paths'!$X:$X,'Learning Paths'!AB:AB)</f>
        <v>0</v>
      </c>
      <c r="G30" s="16">
        <f>LOOKUP($A30,'Learning Paths'!$X:$X,'Learning Paths'!AC:AC)</f>
        <v>0.25</v>
      </c>
      <c r="H30" s="16">
        <f>LOOKUP($A30,'Learning Paths'!$X:$X,'Learning Paths'!AD:AD)</f>
        <v>0.25</v>
      </c>
      <c r="I30" s="16">
        <f>LOOKUP($A30,'Learning Paths'!$X:$X,'Learning Paths'!AE:AE)</f>
        <v>0</v>
      </c>
      <c r="J30" s="16">
        <f>LOOKUP($A30,'Learning Paths'!$X:$X,'Learning Paths'!AF:AF)</f>
        <v>0.25</v>
      </c>
    </row>
    <row r="31" spans="1:10" x14ac:dyDescent="0.2">
      <c r="A31" s="14" t="s">
        <v>1930</v>
      </c>
      <c r="B31" s="14" t="str">
        <f>LOOKUP($A31,'Learning Paths'!$X:$X,'Learning Paths'!Y:Y)</f>
        <v>Gravity and Dissolved Air Floatation Thickeners</v>
      </c>
      <c r="C31" s="16" t="str">
        <f>LOOKUP($A31,'Learning Paths'!$X:$X,'Learning Paths'!Z:Z)</f>
        <v>25-10671-001</v>
      </c>
      <c r="D31" s="16">
        <f>LOOKUP($A31,'Learning Paths'!$X:$X,'Learning Paths'!AA:AA)</f>
        <v>0.2</v>
      </c>
      <c r="E31" s="16">
        <f>LOOKUP($A31,'Learning Paths'!$X:$X,'Learning Paths'!AA:AA)</f>
        <v>0.2</v>
      </c>
      <c r="F31" s="16">
        <f>LOOKUP($A31,'Learning Paths'!$X:$X,'Learning Paths'!AB:AB)</f>
        <v>0</v>
      </c>
      <c r="G31" s="16">
        <f>LOOKUP($A31,'Learning Paths'!$X:$X,'Learning Paths'!AC:AC)</f>
        <v>0.2</v>
      </c>
      <c r="H31" s="16">
        <f>LOOKUP($A31,'Learning Paths'!$X:$X,'Learning Paths'!AD:AD)</f>
        <v>0.2</v>
      </c>
      <c r="I31" s="16">
        <f>LOOKUP($A31,'Learning Paths'!$X:$X,'Learning Paths'!AE:AE)</f>
        <v>0</v>
      </c>
      <c r="J31" s="16">
        <f>LOOKUP($A31,'Learning Paths'!$X:$X,'Learning Paths'!AF:AF)</f>
        <v>0</v>
      </c>
    </row>
    <row r="34" spans="1:10" x14ac:dyDescent="0.2">
      <c r="C34" s="18"/>
      <c r="D34" s="16"/>
      <c r="E34" s="18"/>
      <c r="F34" s="18"/>
      <c r="G34" s="18"/>
      <c r="H34" s="18"/>
      <c r="I34" s="18"/>
      <c r="J34" s="18"/>
    </row>
    <row r="35" spans="1:10" ht="15.75" x14ac:dyDescent="0.25">
      <c r="A35" s="4" t="s">
        <v>299</v>
      </c>
      <c r="E35" s="15" t="s">
        <v>253</v>
      </c>
      <c r="F35" s="15" t="s">
        <v>22</v>
      </c>
      <c r="G35" s="15" t="s">
        <v>23</v>
      </c>
      <c r="H35" s="15" t="s">
        <v>26</v>
      </c>
      <c r="I35" s="15" t="s">
        <v>25</v>
      </c>
      <c r="J35" s="15" t="s">
        <v>24</v>
      </c>
    </row>
    <row r="36" spans="1:10" ht="15.75" x14ac:dyDescent="0.25">
      <c r="A36" s="4" t="s">
        <v>300</v>
      </c>
      <c r="C36" s="19" t="s">
        <v>254</v>
      </c>
      <c r="E36" s="22">
        <f t="shared" ref="E36:J36" si="0">SUM(E4:E31)</f>
        <v>4.4000000000000012</v>
      </c>
      <c r="F36" s="22">
        <f t="shared" si="0"/>
        <v>1.75</v>
      </c>
      <c r="G36" s="22">
        <f t="shared" si="0"/>
        <v>4.4000000000000012</v>
      </c>
      <c r="H36" s="22">
        <f t="shared" si="0"/>
        <v>4.4000000000000012</v>
      </c>
      <c r="I36" s="22">
        <f t="shared" si="0"/>
        <v>1.0500000000000003</v>
      </c>
      <c r="J36" s="22">
        <f t="shared" si="0"/>
        <v>1.5000000000000002</v>
      </c>
    </row>
    <row r="37" spans="1:10" ht="15.75" x14ac:dyDescent="0.25">
      <c r="B37" s="4"/>
      <c r="C37" s="19" t="s">
        <v>311</v>
      </c>
      <c r="E37" s="23">
        <f>E36*10*60</f>
        <v>2640.0000000000009</v>
      </c>
      <c r="F37" s="23">
        <f t="shared" ref="F37:J37" si="1">F36*10*60</f>
        <v>1050</v>
      </c>
      <c r="G37" s="23">
        <f t="shared" si="1"/>
        <v>2640.0000000000009</v>
      </c>
      <c r="H37" s="23">
        <f t="shared" si="1"/>
        <v>2640.0000000000009</v>
      </c>
      <c r="I37" s="23">
        <f t="shared" si="1"/>
        <v>630.00000000000023</v>
      </c>
      <c r="J37" s="23">
        <f t="shared" si="1"/>
        <v>900.00000000000011</v>
      </c>
    </row>
    <row r="38" spans="1:10" ht="31.5" customHeight="1" x14ac:dyDescent="0.2">
      <c r="E38" s="17"/>
      <c r="F38" s="17"/>
      <c r="G38" s="17"/>
      <c r="H38" s="17"/>
      <c r="I38" s="17"/>
      <c r="J38" s="17"/>
    </row>
    <row r="39" spans="1:10" ht="55.5" customHeight="1" x14ac:dyDescent="0.25">
      <c r="A39" s="314" t="s">
        <v>1964</v>
      </c>
      <c r="B39" s="315"/>
      <c r="C39" s="315"/>
      <c r="D39" s="315"/>
      <c r="E39" s="315"/>
      <c r="F39" s="315"/>
      <c r="G39" s="315"/>
      <c r="H39" s="315"/>
      <c r="I39" s="315"/>
    </row>
    <row r="40" spans="1:10" ht="15.75" x14ac:dyDescent="0.25">
      <c r="A40" s="4" t="s">
        <v>920</v>
      </c>
    </row>
    <row r="41" spans="1:10" x14ac:dyDescent="0.2">
      <c r="E41" s="21"/>
    </row>
    <row r="42" spans="1:10" ht="15.75" x14ac:dyDescent="0.25">
      <c r="C42" s="19" t="s">
        <v>255</v>
      </c>
      <c r="E42" s="20">
        <v>550</v>
      </c>
    </row>
  </sheetData>
  <sortState xmlns:xlrd2="http://schemas.microsoft.com/office/spreadsheetml/2017/richdata2" ref="M4:M31">
    <sortCondition ref="M4:M31"/>
  </sortState>
  <mergeCells count="1">
    <mergeCell ref="A39:I39"/>
  </mergeCells>
  <pageMargins left="0.7" right="0.7" top="0.75" bottom="0.75" header="0.3" footer="0.3"/>
  <pageSetup scale="63" orientation="landscape" horizontalDpi="4294967293"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41"/>
  <sheetViews>
    <sheetView topLeftCell="B1" workbookViewId="0">
      <selection activeCell="C21" sqref="C21"/>
    </sheetView>
  </sheetViews>
  <sheetFormatPr defaultRowHeight="15" x14ac:dyDescent="0.25"/>
  <cols>
    <col min="1" max="1" width="0" hidden="1" customWidth="1"/>
    <col min="2" max="2" width="19.7109375" bestFit="1" customWidth="1"/>
    <col min="3" max="3" width="47.28515625" bestFit="1" customWidth="1"/>
    <col min="4" max="4" width="22" customWidth="1"/>
    <col min="5" max="5" width="45.7109375" hidden="1" customWidth="1"/>
    <col min="6" max="6" width="10.7109375" style="1" customWidth="1"/>
    <col min="7" max="11" width="9.140625" style="1"/>
  </cols>
  <sheetData>
    <row r="1" spans="1:11" ht="20.25" x14ac:dyDescent="0.3">
      <c r="B1" s="8" t="s">
        <v>257</v>
      </c>
    </row>
    <row r="3" spans="1:11" ht="15.75" thickBot="1" x14ac:dyDescent="0.3">
      <c r="B3" s="40" t="s">
        <v>256</v>
      </c>
      <c r="C3" s="40" t="s">
        <v>249</v>
      </c>
      <c r="D3" s="79" t="s">
        <v>250</v>
      </c>
      <c r="E3" s="79" t="s">
        <v>251</v>
      </c>
      <c r="F3" s="79" t="s">
        <v>252</v>
      </c>
      <c r="G3" s="79" t="s">
        <v>22</v>
      </c>
      <c r="H3" s="79" t="s">
        <v>23</v>
      </c>
      <c r="I3" s="79" t="s">
        <v>26</v>
      </c>
      <c r="J3" s="79" t="s">
        <v>25</v>
      </c>
      <c r="K3" s="79" t="s">
        <v>24</v>
      </c>
    </row>
    <row r="4" spans="1:11" ht="15.75" x14ac:dyDescent="0.25">
      <c r="A4" s="26"/>
      <c r="B4" t="s">
        <v>52</v>
      </c>
      <c r="C4" s="14" t="str">
        <f>LOOKUP(Table1[[#This Row],[Indigo ID Number]],'Learning Paths'!$X:$X,'Learning Paths'!Y:Y)</f>
        <v>Pumps</v>
      </c>
      <c r="D4" s="16" t="str">
        <f>LOOKUP(Table1[[#This Row],[Indigo ID Number]],'Learning Paths'!$X:$X,'Learning Paths'!Z:Z)</f>
        <v>25-06046-002</v>
      </c>
      <c r="E4" s="16" t="e">
        <f>LOOKUP(Table1[[#This Row],[Existing Approval No.]],'Learning Paths'!$X:$X,'Learning Paths'!AA:AA)</f>
        <v>#N/A</v>
      </c>
      <c r="F4" s="16">
        <f>LOOKUP(Table1[[#This Row],[Indigo ID Number]],'Learning Paths'!$X:$X,'Learning Paths'!AA:AA)</f>
        <v>0.2</v>
      </c>
      <c r="G4" s="16">
        <f>LOOKUP(Table1[[#This Row],[Indigo ID Number]],'Learning Paths'!$X:$X,'Learning Paths'!AB:AB)</f>
        <v>0.2</v>
      </c>
      <c r="H4" s="16">
        <f>LOOKUP(Table1[[#This Row],[Indigo ID Number]],'Learning Paths'!$X:$X,'Learning Paths'!AC:AC)</f>
        <v>0.2</v>
      </c>
      <c r="I4" s="16">
        <f>LOOKUP(Table1[[#This Row],[Indigo ID Number]],'Learning Paths'!$X:$X,'Learning Paths'!AD:AD)</f>
        <v>0.2</v>
      </c>
      <c r="J4" s="16">
        <f>LOOKUP(Table1[[#This Row],[Indigo ID Number]],'Learning Paths'!$X:$X,'Learning Paths'!AE:AE)</f>
        <v>0.2</v>
      </c>
      <c r="K4" s="16">
        <f>LOOKUP(Table1[[#This Row],[Indigo ID Number]],'Learning Paths'!$X:$X,'Learning Paths'!AF:AF)</f>
        <v>0.2</v>
      </c>
    </row>
    <row r="5" spans="1:11" ht="15.75" x14ac:dyDescent="0.25">
      <c r="A5" s="26"/>
      <c r="B5" t="s">
        <v>53</v>
      </c>
      <c r="C5" s="14" t="str">
        <f>LOOKUP(Table1[[#This Row],[Indigo ID Number]],'Learning Paths'!$X:$X,'Learning Paths'!Y:Y)</f>
        <v>Hydraulics Basics</v>
      </c>
      <c r="D5" s="16" t="str">
        <f>LOOKUP(Table1[[#This Row],[Indigo ID Number]],'Learning Paths'!$X:$X,'Learning Paths'!Z:Z)</f>
        <v>25-05990-001</v>
      </c>
      <c r="E5" s="16" t="e">
        <f>LOOKUP(Table1[[#This Row],[Existing Approval No.]],'Learning Paths'!$X:$X,'Learning Paths'!AA:AA)</f>
        <v>#N/A</v>
      </c>
      <c r="F5" s="16">
        <f>LOOKUP(Table1[[#This Row],[Indigo ID Number]],'Learning Paths'!$X:$X,'Learning Paths'!AA:AA)</f>
        <v>0.15</v>
      </c>
      <c r="G5" s="16">
        <f>LOOKUP(Table1[[#This Row],[Indigo ID Number]],'Learning Paths'!$X:$X,'Learning Paths'!AB:AB)</f>
        <v>0.15</v>
      </c>
      <c r="H5" s="16">
        <f>LOOKUP(Table1[[#This Row],[Indigo ID Number]],'Learning Paths'!$X:$X,'Learning Paths'!AC:AC)</f>
        <v>0.15</v>
      </c>
      <c r="I5" s="16">
        <f>LOOKUP(Table1[[#This Row],[Indigo ID Number]],'Learning Paths'!$X:$X,'Learning Paths'!AD:AD)</f>
        <v>0.15</v>
      </c>
      <c r="J5" s="16">
        <f>LOOKUP(Table1[[#This Row],[Indigo ID Number]],'Learning Paths'!$X:$X,'Learning Paths'!AE:AE)</f>
        <v>0.15</v>
      </c>
      <c r="K5" s="16">
        <f>LOOKUP(Table1[[#This Row],[Indigo ID Number]],'Learning Paths'!$X:$X,'Learning Paths'!AF:AF)</f>
        <v>0.15</v>
      </c>
    </row>
    <row r="6" spans="1:11" ht="15.75" x14ac:dyDescent="0.25">
      <c r="A6" s="26"/>
      <c r="B6" t="s">
        <v>489</v>
      </c>
      <c r="C6" s="14" t="str">
        <f>LOOKUP(Table1[[#This Row],[Indigo ID Number]],'Learning Paths'!$X:$X,'Learning Paths'!Y:Y)</f>
        <v>Maintenance</v>
      </c>
      <c r="D6" s="16" t="str">
        <f>LOOKUP(Table1[[#This Row],[Indigo ID Number]],'Learning Paths'!$X:$X,'Learning Paths'!Z:Z)</f>
        <v>25-05993-001</v>
      </c>
      <c r="E6" s="16" t="e">
        <f>LOOKUP(Table1[[#This Row],[Existing Approval No.]],'Learning Paths'!$X:$X,'Learning Paths'!AA:AA)</f>
        <v>#N/A</v>
      </c>
      <c r="F6" s="16">
        <f>LOOKUP(Table1[[#This Row],[Indigo ID Number]],'Learning Paths'!$X:$X,'Learning Paths'!AA:AA)</f>
        <v>0.15</v>
      </c>
      <c r="G6" s="16">
        <f>LOOKUP(Table1[[#This Row],[Indigo ID Number]],'Learning Paths'!$X:$X,'Learning Paths'!AB:AB)</f>
        <v>0.15</v>
      </c>
      <c r="H6" s="16">
        <f>LOOKUP(Table1[[#This Row],[Indigo ID Number]],'Learning Paths'!$X:$X,'Learning Paths'!AC:AC)</f>
        <v>0.15</v>
      </c>
      <c r="I6" s="16">
        <f>LOOKUP(Table1[[#This Row],[Indigo ID Number]],'Learning Paths'!$X:$X,'Learning Paths'!AD:AD)</f>
        <v>0.15</v>
      </c>
      <c r="J6" s="16">
        <f>LOOKUP(Table1[[#This Row],[Indigo ID Number]],'Learning Paths'!$X:$X,'Learning Paths'!AE:AE)</f>
        <v>0.15</v>
      </c>
      <c r="K6" s="16">
        <f>LOOKUP(Table1[[#This Row],[Indigo ID Number]],'Learning Paths'!$X:$X,'Learning Paths'!AF:AF)</f>
        <v>0.15</v>
      </c>
    </row>
    <row r="7" spans="1:11" ht="15.75" x14ac:dyDescent="0.25">
      <c r="A7" s="26"/>
      <c r="B7" t="s">
        <v>107</v>
      </c>
      <c r="C7" s="14" t="str">
        <f>LOOKUP(Table1[[#This Row],[Indigo ID Number]],'Learning Paths'!$X:$X,'Learning Paths'!Y:Y)</f>
        <v>Electrical Fundamentals</v>
      </c>
      <c r="D7" s="16" t="str">
        <f>LOOKUP(Table1[[#This Row],[Indigo ID Number]],'Learning Paths'!$X:$X,'Learning Paths'!Z:Z)</f>
        <v>25-05994-001</v>
      </c>
      <c r="E7" s="16" t="e">
        <f>LOOKUP(Table1[[#This Row],[Existing Approval No.]],'Learning Paths'!$X:$X,'Learning Paths'!AA:AA)</f>
        <v>#N/A</v>
      </c>
      <c r="F7" s="16">
        <f>LOOKUP(Table1[[#This Row],[Indigo ID Number]],'Learning Paths'!$X:$X,'Learning Paths'!AA:AA)</f>
        <v>0.15</v>
      </c>
      <c r="G7" s="16">
        <f>LOOKUP(Table1[[#This Row],[Indigo ID Number]],'Learning Paths'!$X:$X,'Learning Paths'!AB:AB)</f>
        <v>0.15</v>
      </c>
      <c r="H7" s="16">
        <f>LOOKUP(Table1[[#This Row],[Indigo ID Number]],'Learning Paths'!$X:$X,'Learning Paths'!AC:AC)</f>
        <v>0.15</v>
      </c>
      <c r="I7" s="16">
        <f>LOOKUP(Table1[[#This Row],[Indigo ID Number]],'Learning Paths'!$X:$X,'Learning Paths'!AD:AD)</f>
        <v>0.15</v>
      </c>
      <c r="J7" s="16">
        <f>LOOKUP(Table1[[#This Row],[Indigo ID Number]],'Learning Paths'!$X:$X,'Learning Paths'!AE:AE)</f>
        <v>0.15</v>
      </c>
      <c r="K7" s="16">
        <f>LOOKUP(Table1[[#This Row],[Indigo ID Number]],'Learning Paths'!$X:$X,'Learning Paths'!AF:AF)</f>
        <v>0.15</v>
      </c>
    </row>
    <row r="8" spans="1:11" ht="15.75" x14ac:dyDescent="0.25">
      <c r="A8" s="26"/>
      <c r="B8" t="s">
        <v>490</v>
      </c>
      <c r="C8" s="14" t="str">
        <f>LOOKUP(Table1[[#This Row],[Indigo ID Number]],'Learning Paths'!$X:$X,'Learning Paths'!Y:Y)</f>
        <v>Disinfection Byproducts</v>
      </c>
      <c r="D8" s="16" t="str">
        <f>LOOKUP(Table1[[#This Row],[Indigo ID Number]],'Learning Paths'!$X:$X,'Learning Paths'!Z:Z)</f>
        <v>25-05996-001</v>
      </c>
      <c r="E8" s="16" t="e">
        <f>LOOKUP(Table1[[#This Row],[Existing Approval No.]],'Learning Paths'!$X:$X,'Learning Paths'!AA:AA)</f>
        <v>#N/A</v>
      </c>
      <c r="F8" s="16">
        <f>LOOKUP(Table1[[#This Row],[Indigo ID Number]],'Learning Paths'!$X:$X,'Learning Paths'!AA:AA)</f>
        <v>0.15</v>
      </c>
      <c r="G8" s="16">
        <f>LOOKUP(Table1[[#This Row],[Indigo ID Number]],'Learning Paths'!$X:$X,'Learning Paths'!AB:AB)</f>
        <v>0.15</v>
      </c>
      <c r="H8" s="16">
        <f>LOOKUP(Table1[[#This Row],[Indigo ID Number]],'Learning Paths'!$X:$X,'Learning Paths'!AC:AC)</f>
        <v>0</v>
      </c>
      <c r="I8" s="16">
        <f>LOOKUP(Table1[[#This Row],[Indigo ID Number]],'Learning Paths'!$X:$X,'Learning Paths'!AD:AD)</f>
        <v>0</v>
      </c>
      <c r="J8" s="16">
        <f>LOOKUP(Table1[[#This Row],[Indigo ID Number]],'Learning Paths'!$X:$X,'Learning Paths'!AE:AE)</f>
        <v>0.15</v>
      </c>
      <c r="K8" s="16">
        <f>LOOKUP(Table1[[#This Row],[Indigo ID Number]],'Learning Paths'!$X:$X,'Learning Paths'!AF:AF)</f>
        <v>0</v>
      </c>
    </row>
    <row r="9" spans="1:11" ht="15.75" x14ac:dyDescent="0.25">
      <c r="A9" s="26"/>
      <c r="B9" t="s">
        <v>1056</v>
      </c>
      <c r="C9" s="14" t="str">
        <f>LOOKUP(Table1[[#This Row],[Indigo ID Number]],'Learning Paths'!$X:$X,'Learning Paths'!Y:Y)</f>
        <v>Backflow Preventers</v>
      </c>
      <c r="D9" s="16" t="str">
        <f>LOOKUP(Table1[[#This Row],[Indigo ID Number]],'Learning Paths'!$X:$X,'Learning Paths'!Z:Z)</f>
        <v>25-08959-001</v>
      </c>
      <c r="E9" s="16" t="e">
        <f>LOOKUP(Table1[[#This Row],[Existing Approval No.]],'Learning Paths'!$X:$X,'Learning Paths'!AA:AA)</f>
        <v>#N/A</v>
      </c>
      <c r="F9" s="16">
        <f>LOOKUP(Table1[[#This Row],[Indigo ID Number]],'Learning Paths'!$X:$X,'Learning Paths'!AA:AA)</f>
        <v>0.05</v>
      </c>
      <c r="G9" s="16">
        <f>LOOKUP(Table1[[#This Row],[Indigo ID Number]],'Learning Paths'!$X:$X,'Learning Paths'!AB:AB)</f>
        <v>0.05</v>
      </c>
      <c r="H9" s="16">
        <f>LOOKUP(Table1[[#This Row],[Indigo ID Number]],'Learning Paths'!$X:$X,'Learning Paths'!AC:AC)</f>
        <v>0.05</v>
      </c>
      <c r="I9" s="16">
        <f>LOOKUP(Table1[[#This Row],[Indigo ID Number]],'Learning Paths'!$X:$X,'Learning Paths'!AD:AD)</f>
        <v>0.05</v>
      </c>
      <c r="J9" s="16">
        <f>LOOKUP(Table1[[#This Row],[Indigo ID Number]],'Learning Paths'!$X:$X,'Learning Paths'!AE:AE)</f>
        <v>0.05</v>
      </c>
      <c r="K9" s="16">
        <f>LOOKUP(Table1[[#This Row],[Indigo ID Number]],'Learning Paths'!$X:$X,'Learning Paths'!AF:AF)</f>
        <v>0.05</v>
      </c>
    </row>
    <row r="10" spans="1:11" ht="15.75" x14ac:dyDescent="0.25">
      <c r="A10" s="26"/>
      <c r="B10" t="s">
        <v>495</v>
      </c>
      <c r="C10" s="14" t="str">
        <f>LOOKUP(Table1[[#This Row],[Indigo ID Number]],'Learning Paths'!$X:$X,'Learning Paths'!Y:Y)</f>
        <v>Laboratory - pH, Alkalinity, and Hardness</v>
      </c>
      <c r="D10" s="16" t="str">
        <f>LOOKUP(Table1[[#This Row],[Indigo ID Number]],'Learning Paths'!$X:$X,'Learning Paths'!Z:Z)</f>
        <v>25-07704-001</v>
      </c>
      <c r="E10" s="16" t="e">
        <f>LOOKUP(Table1[[#This Row],[Existing Approval No.]],'Learning Paths'!$X:$X,'Learning Paths'!AA:AA)</f>
        <v>#N/A</v>
      </c>
      <c r="F10" s="16">
        <f>LOOKUP(Table1[[#This Row],[Indigo ID Number]],'Learning Paths'!$X:$X,'Learning Paths'!AA:AA)</f>
        <v>0.2</v>
      </c>
      <c r="G10" s="16">
        <f>LOOKUP(Table1[[#This Row],[Indigo ID Number]],'Learning Paths'!$X:$X,'Learning Paths'!AB:AB)</f>
        <v>0.2</v>
      </c>
      <c r="H10" s="16">
        <f>LOOKUP(Table1[[#This Row],[Indigo ID Number]],'Learning Paths'!$X:$X,'Learning Paths'!AC:AC)</f>
        <v>0.2</v>
      </c>
      <c r="I10" s="16">
        <f>LOOKUP(Table1[[#This Row],[Indigo ID Number]],'Learning Paths'!$X:$X,'Learning Paths'!AD:AD)</f>
        <v>0.2</v>
      </c>
      <c r="J10" s="16">
        <f>LOOKUP(Table1[[#This Row],[Indigo ID Number]],'Learning Paths'!$X:$X,'Learning Paths'!AE:AE)</f>
        <v>0.2</v>
      </c>
      <c r="K10" s="16">
        <f>LOOKUP(Table1[[#This Row],[Indigo ID Number]],'Learning Paths'!$X:$X,'Learning Paths'!AF:AF)</f>
        <v>0.05</v>
      </c>
    </row>
    <row r="11" spans="1:11" ht="15.75" x14ac:dyDescent="0.25">
      <c r="A11" s="26"/>
      <c r="B11" t="s">
        <v>496</v>
      </c>
      <c r="C11" s="14" t="str">
        <f>LOOKUP(Table1[[#This Row],[Indigo ID Number]],'Learning Paths'!$X:$X,'Learning Paths'!Y:Y)</f>
        <v>Laboratory - TDS, Conductivity, and Turbidity</v>
      </c>
      <c r="D11" s="16" t="str">
        <f>LOOKUP(Table1[[#This Row],[Indigo ID Number]],'Learning Paths'!$X:$X,'Learning Paths'!Z:Z)</f>
        <v>25-07745-001</v>
      </c>
      <c r="E11" s="16" t="e">
        <f>LOOKUP(Table1[[#This Row],[Existing Approval No.]],'Learning Paths'!$X:$X,'Learning Paths'!AA:AA)</f>
        <v>#N/A</v>
      </c>
      <c r="F11" s="16">
        <f>LOOKUP(Table1[[#This Row],[Indigo ID Number]],'Learning Paths'!$X:$X,'Learning Paths'!AA:AA)</f>
        <v>0.2</v>
      </c>
      <c r="G11" s="16">
        <f>LOOKUP(Table1[[#This Row],[Indigo ID Number]],'Learning Paths'!$X:$X,'Learning Paths'!AB:AB)</f>
        <v>0.2</v>
      </c>
      <c r="H11" s="16">
        <f>LOOKUP(Table1[[#This Row],[Indigo ID Number]],'Learning Paths'!$X:$X,'Learning Paths'!AC:AC)</f>
        <v>0.2</v>
      </c>
      <c r="I11" s="16">
        <f>LOOKUP(Table1[[#This Row],[Indigo ID Number]],'Learning Paths'!$X:$X,'Learning Paths'!AD:AD)</f>
        <v>0.2</v>
      </c>
      <c r="J11" s="16">
        <f>LOOKUP(Table1[[#This Row],[Indigo ID Number]],'Learning Paths'!$X:$X,'Learning Paths'!AE:AE)</f>
        <v>0.2</v>
      </c>
      <c r="K11" s="16">
        <f>LOOKUP(Table1[[#This Row],[Indigo ID Number]],'Learning Paths'!$X:$X,'Learning Paths'!AF:AF)</f>
        <v>0</v>
      </c>
    </row>
    <row r="12" spans="1:11" ht="15.75" x14ac:dyDescent="0.25">
      <c r="A12" s="26"/>
      <c r="B12" t="s">
        <v>499</v>
      </c>
      <c r="C12" s="14" t="str">
        <f>LOOKUP(Table1[[#This Row],[Indigo ID Number]],'Learning Paths'!$X:$X,'Learning Paths'!Y:Y)</f>
        <v>Laboratory - Chlorine Residual by DPD</v>
      </c>
      <c r="D12" s="16" t="str">
        <f>LOOKUP(Table1[[#This Row],[Indigo ID Number]],'Learning Paths'!$X:$X,'Learning Paths'!Z:Z)</f>
        <v>25-07709-001</v>
      </c>
      <c r="E12" s="16" t="e">
        <f>LOOKUP(Table1[[#This Row],[Existing Approval No.]],'Learning Paths'!$X:$X,'Learning Paths'!AA:AA)</f>
        <v>#N/A</v>
      </c>
      <c r="F12" s="16">
        <f>LOOKUP(Table1[[#This Row],[Indigo ID Number]],'Learning Paths'!$X:$X,'Learning Paths'!AA:AA)</f>
        <v>0.05</v>
      </c>
      <c r="G12" s="16">
        <f>LOOKUP(Table1[[#This Row],[Indigo ID Number]],'Learning Paths'!$X:$X,'Learning Paths'!AB:AB)</f>
        <v>0.05</v>
      </c>
      <c r="H12" s="16">
        <f>LOOKUP(Table1[[#This Row],[Indigo ID Number]],'Learning Paths'!$X:$X,'Learning Paths'!AC:AC)</f>
        <v>0.05</v>
      </c>
      <c r="I12" s="16">
        <f>LOOKUP(Table1[[#This Row],[Indigo ID Number]],'Learning Paths'!$X:$X,'Learning Paths'!AD:AD)</f>
        <v>0.05</v>
      </c>
      <c r="J12" s="16">
        <f>LOOKUP(Table1[[#This Row],[Indigo ID Number]],'Learning Paths'!$X:$X,'Learning Paths'!AE:AE)</f>
        <v>0.05</v>
      </c>
      <c r="K12" s="16">
        <f>LOOKUP(Table1[[#This Row],[Indigo ID Number]],'Learning Paths'!$X:$X,'Learning Paths'!AF:AF)</f>
        <v>0</v>
      </c>
    </row>
    <row r="13" spans="1:11" ht="15.75" x14ac:dyDescent="0.25">
      <c r="A13" s="26"/>
      <c r="B13" t="s">
        <v>502</v>
      </c>
      <c r="C13" s="14" t="str">
        <f>LOOKUP(Table1[[#This Row],[Indigo ID Number]],'Learning Paths'!$X:$X,'Learning Paths'!Y:Y)</f>
        <v>Laboratory - Jar Testing</v>
      </c>
      <c r="D13" s="16" t="str">
        <f>LOOKUP(Table1[[#This Row],[Indigo ID Number]],'Learning Paths'!$X:$X,'Learning Paths'!Z:Z)</f>
        <v>25-07639-001</v>
      </c>
      <c r="E13" s="16" t="e">
        <f>LOOKUP(Table1[[#This Row],[Existing Approval No.]],'Learning Paths'!$X:$X,'Learning Paths'!AA:AA)</f>
        <v>#N/A</v>
      </c>
      <c r="F13" s="16">
        <f>LOOKUP(Table1[[#This Row],[Indigo ID Number]],'Learning Paths'!$X:$X,'Learning Paths'!AA:AA)</f>
        <v>0.1</v>
      </c>
      <c r="G13" s="16">
        <f>LOOKUP(Table1[[#This Row],[Indigo ID Number]],'Learning Paths'!$X:$X,'Learning Paths'!AB:AB)</f>
        <v>0.1</v>
      </c>
      <c r="H13" s="16">
        <f>LOOKUP(Table1[[#This Row],[Indigo ID Number]],'Learning Paths'!$X:$X,'Learning Paths'!AC:AC)</f>
        <v>0.1</v>
      </c>
      <c r="I13" s="16">
        <f>LOOKUP(Table1[[#This Row],[Indigo ID Number]],'Learning Paths'!$X:$X,'Learning Paths'!AD:AD)</f>
        <v>0.1</v>
      </c>
      <c r="J13" s="16">
        <f>LOOKUP(Table1[[#This Row],[Indigo ID Number]],'Learning Paths'!$X:$X,'Learning Paths'!AE:AE)</f>
        <v>0</v>
      </c>
      <c r="K13" s="16">
        <f>LOOKUP(Table1[[#This Row],[Indigo ID Number]],'Learning Paths'!$X:$X,'Learning Paths'!AF:AF)</f>
        <v>0</v>
      </c>
    </row>
    <row r="14" spans="1:11" ht="15.75" x14ac:dyDescent="0.25">
      <c r="A14" s="26"/>
      <c r="B14" t="s">
        <v>180</v>
      </c>
      <c r="C14" s="14" t="str">
        <f>LOOKUP(Table1[[#This Row],[Indigo ID Number]],'Learning Paths'!$X:$X,'Learning Paths'!Y:Y)</f>
        <v>Math Strategies for Success</v>
      </c>
      <c r="D14" s="16" t="str">
        <f>LOOKUP(Table1[[#This Row],[Indigo ID Number]],'Learning Paths'!$X:$X,'Learning Paths'!Z:Z)</f>
        <v>25-05983-002</v>
      </c>
      <c r="E14" s="16" t="e">
        <f>LOOKUP(Table1[[#This Row],[Existing Approval No.]],'Learning Paths'!$X:$X,'Learning Paths'!AA:AA)</f>
        <v>#N/A</v>
      </c>
      <c r="F14" s="16">
        <f>LOOKUP(Table1[[#This Row],[Indigo ID Number]],'Learning Paths'!$X:$X,'Learning Paths'!AA:AA)</f>
        <v>0.1</v>
      </c>
      <c r="G14" s="16">
        <f>LOOKUP(Table1[[#This Row],[Indigo ID Number]],'Learning Paths'!$X:$X,'Learning Paths'!AB:AB)</f>
        <v>0.1</v>
      </c>
      <c r="H14" s="16">
        <f>LOOKUP(Table1[[#This Row],[Indigo ID Number]],'Learning Paths'!$X:$X,'Learning Paths'!AC:AC)</f>
        <v>0.1</v>
      </c>
      <c r="I14" s="16">
        <f>LOOKUP(Table1[[#This Row],[Indigo ID Number]],'Learning Paths'!$X:$X,'Learning Paths'!AD:AD)</f>
        <v>0.1</v>
      </c>
      <c r="J14" s="16">
        <f>LOOKUP(Table1[[#This Row],[Indigo ID Number]],'Learning Paths'!$X:$X,'Learning Paths'!AE:AE)</f>
        <v>0.1</v>
      </c>
      <c r="K14" s="16">
        <f>LOOKUP(Table1[[#This Row],[Indigo ID Number]],'Learning Paths'!$X:$X,'Learning Paths'!AF:AF)</f>
        <v>0.1</v>
      </c>
    </row>
    <row r="15" spans="1:11" ht="15.75" x14ac:dyDescent="0.25">
      <c r="A15" s="26"/>
      <c r="B15" t="s">
        <v>50</v>
      </c>
      <c r="C15" s="14" t="str">
        <f>LOOKUP(Table1[[#This Row],[Indigo ID Number]],'Learning Paths'!$X:$X,'Learning Paths'!Y:Y)</f>
        <v>Unit Conversions</v>
      </c>
      <c r="D15" s="16" t="str">
        <f>LOOKUP(Table1[[#This Row],[Indigo ID Number]],'Learning Paths'!$X:$X,'Learning Paths'!Z:Z)</f>
        <v>25-05984-002</v>
      </c>
      <c r="E15" s="16" t="e">
        <f>LOOKUP(Table1[[#This Row],[Existing Approval No.]],'Learning Paths'!$X:$X,'Learning Paths'!AA:AA)</f>
        <v>#N/A</v>
      </c>
      <c r="F15" s="16">
        <f>LOOKUP(Table1[[#This Row],[Indigo ID Number]],'Learning Paths'!$X:$X,'Learning Paths'!AA:AA)</f>
        <v>0.05</v>
      </c>
      <c r="G15" s="16">
        <f>LOOKUP(Table1[[#This Row],[Indigo ID Number]],'Learning Paths'!$X:$X,'Learning Paths'!AB:AB)</f>
        <v>0.05</v>
      </c>
      <c r="H15" s="16">
        <f>LOOKUP(Table1[[#This Row],[Indigo ID Number]],'Learning Paths'!$X:$X,'Learning Paths'!AC:AC)</f>
        <v>0.05</v>
      </c>
      <c r="I15" s="16">
        <f>LOOKUP(Table1[[#This Row],[Indigo ID Number]],'Learning Paths'!$X:$X,'Learning Paths'!AD:AD)</f>
        <v>0.05</v>
      </c>
      <c r="J15" s="16">
        <f>LOOKUP(Table1[[#This Row],[Indigo ID Number]],'Learning Paths'!$X:$X,'Learning Paths'!AE:AE)</f>
        <v>0.05</v>
      </c>
      <c r="K15" s="16">
        <f>LOOKUP(Table1[[#This Row],[Indigo ID Number]],'Learning Paths'!$X:$X,'Learning Paths'!AF:AF)</f>
        <v>0.05</v>
      </c>
    </row>
    <row r="16" spans="1:11" ht="15.75" x14ac:dyDescent="0.25">
      <c r="B16" t="s">
        <v>51</v>
      </c>
      <c r="C16" s="14" t="str">
        <f>LOOKUP(Table1[[#This Row],[Indigo ID Number]],'Learning Paths'!$X:$X,'Learning Paths'!Y:Y)</f>
        <v>Geometry</v>
      </c>
      <c r="D16" s="16" t="str">
        <f>LOOKUP(Table1[[#This Row],[Indigo ID Number]],'Learning Paths'!$X:$X,'Learning Paths'!Z:Z)</f>
        <v>25-05985-002</v>
      </c>
      <c r="E16" s="16" t="e">
        <f>LOOKUP(Table1[[#This Row],[Existing Approval No.]],'Learning Paths'!$X:$X,'Learning Paths'!AA:AA)</f>
        <v>#N/A</v>
      </c>
      <c r="F16" s="16">
        <f>LOOKUP(Table1[[#This Row],[Indigo ID Number]],'Learning Paths'!$X:$X,'Learning Paths'!AA:AA)</f>
        <v>0.05</v>
      </c>
      <c r="G16" s="16">
        <f>LOOKUP(Table1[[#This Row],[Indigo ID Number]],'Learning Paths'!$X:$X,'Learning Paths'!AB:AB)</f>
        <v>0.05</v>
      </c>
      <c r="H16" s="16">
        <f>LOOKUP(Table1[[#This Row],[Indigo ID Number]],'Learning Paths'!$X:$X,'Learning Paths'!AC:AC)</f>
        <v>0.05</v>
      </c>
      <c r="I16" s="16">
        <f>LOOKUP(Table1[[#This Row],[Indigo ID Number]],'Learning Paths'!$X:$X,'Learning Paths'!AD:AD)</f>
        <v>0.05</v>
      </c>
      <c r="J16" s="16">
        <f>LOOKUP(Table1[[#This Row],[Indigo ID Number]],'Learning Paths'!$X:$X,'Learning Paths'!AE:AE)</f>
        <v>0.05</v>
      </c>
      <c r="K16" s="16">
        <f>LOOKUP(Table1[[#This Row],[Indigo ID Number]],'Learning Paths'!$X:$X,'Learning Paths'!AF:AF)</f>
        <v>0.05</v>
      </c>
    </row>
    <row r="17" spans="1:11" ht="15.75" x14ac:dyDescent="0.25">
      <c r="A17" s="26"/>
      <c r="B17" t="s">
        <v>205</v>
      </c>
      <c r="C17" s="14" t="str">
        <f>LOOKUP(Table1[[#This Row],[Indigo ID Number]],'Learning Paths'!$X:$X,'Learning Paths'!Y:Y)</f>
        <v>Chemical Dosing</v>
      </c>
      <c r="D17" s="16" t="str">
        <f>LOOKUP(Table1[[#This Row],[Indigo ID Number]],'Learning Paths'!$X:$X,'Learning Paths'!Z:Z)</f>
        <v>25-05986-002</v>
      </c>
      <c r="E17" s="16" t="e">
        <f>LOOKUP(Table1[[#This Row],[Existing Approval No.]],'Learning Paths'!$X:$X,'Learning Paths'!AA:AA)</f>
        <v>#N/A</v>
      </c>
      <c r="F17" s="16">
        <f>LOOKUP(Table1[[#This Row],[Indigo ID Number]],'Learning Paths'!$X:$X,'Learning Paths'!AA:AA)</f>
        <v>0.05</v>
      </c>
      <c r="G17" s="16">
        <f>LOOKUP(Table1[[#This Row],[Indigo ID Number]],'Learning Paths'!$X:$X,'Learning Paths'!AB:AB)</f>
        <v>0.05</v>
      </c>
      <c r="H17" s="16">
        <f>LOOKUP(Table1[[#This Row],[Indigo ID Number]],'Learning Paths'!$X:$X,'Learning Paths'!AC:AC)</f>
        <v>0.05</v>
      </c>
      <c r="I17" s="16">
        <f>LOOKUP(Table1[[#This Row],[Indigo ID Number]],'Learning Paths'!$X:$X,'Learning Paths'!AD:AD)</f>
        <v>0.05</v>
      </c>
      <c r="J17" s="16">
        <f>LOOKUP(Table1[[#This Row],[Indigo ID Number]],'Learning Paths'!$X:$X,'Learning Paths'!AE:AE)</f>
        <v>0.05</v>
      </c>
      <c r="K17" s="16">
        <f>LOOKUP(Table1[[#This Row],[Indigo ID Number]],'Learning Paths'!$X:$X,'Learning Paths'!AF:AF)</f>
        <v>0.05</v>
      </c>
    </row>
    <row r="18" spans="1:11" ht="15.75" x14ac:dyDescent="0.25">
      <c r="A18" s="26"/>
      <c r="B18" t="s">
        <v>201</v>
      </c>
      <c r="C18" s="14" t="str">
        <f>LOOKUP(Table1[[#This Row],[Indigo ID Number]],'Learning Paths'!$X:$X,'Learning Paths'!Y:Y)</f>
        <v>Velocity and Hydraulic Detention Time</v>
      </c>
      <c r="D18" s="16" t="str">
        <f>LOOKUP(Table1[[#This Row],[Indigo ID Number]],'Learning Paths'!$X:$X,'Learning Paths'!Z:Z)</f>
        <v>25-05987-001</v>
      </c>
      <c r="E18" s="16" t="e">
        <f>LOOKUP(Table1[[#This Row],[Existing Approval No.]],'Learning Paths'!$X:$X,'Learning Paths'!AA:AA)</f>
        <v>#N/A</v>
      </c>
      <c r="F18" s="16">
        <f>LOOKUP(Table1[[#This Row],[Indigo ID Number]],'Learning Paths'!$X:$X,'Learning Paths'!AA:AA)</f>
        <v>0.1</v>
      </c>
      <c r="G18" s="16">
        <f>LOOKUP(Table1[[#This Row],[Indigo ID Number]],'Learning Paths'!$X:$X,'Learning Paths'!AB:AB)</f>
        <v>0.1</v>
      </c>
      <c r="H18" s="16">
        <f>LOOKUP(Table1[[#This Row],[Indigo ID Number]],'Learning Paths'!$X:$X,'Learning Paths'!AC:AC)</f>
        <v>0.1</v>
      </c>
      <c r="I18" s="16">
        <f>LOOKUP(Table1[[#This Row],[Indigo ID Number]],'Learning Paths'!$X:$X,'Learning Paths'!AD:AD)</f>
        <v>0.1</v>
      </c>
      <c r="J18" s="16">
        <f>LOOKUP(Table1[[#This Row],[Indigo ID Number]],'Learning Paths'!$X:$X,'Learning Paths'!AE:AE)</f>
        <v>0.1</v>
      </c>
      <c r="K18" s="16">
        <f>LOOKUP(Table1[[#This Row],[Indigo ID Number]],'Learning Paths'!$X:$X,'Learning Paths'!AF:AF)</f>
        <v>0.1</v>
      </c>
    </row>
    <row r="19" spans="1:11" ht="15.75" x14ac:dyDescent="0.25">
      <c r="B19" t="s">
        <v>62</v>
      </c>
      <c r="C19" s="14" t="str">
        <f>LOOKUP(Table1[[#This Row],[Indigo ID Number]],'Learning Paths'!$X:$X,'Learning Paths'!Y:Y)</f>
        <v>Trenching and Shoring</v>
      </c>
      <c r="D19" s="16" t="str">
        <f>LOOKUP(Table1[[#This Row],[Indigo ID Number]],'Learning Paths'!$X:$X,'Learning Paths'!Z:Z)</f>
        <v>25-05998-001</v>
      </c>
      <c r="E19" s="16" t="e">
        <f>LOOKUP(Table1[[#This Row],[Existing Approval No.]],'Learning Paths'!$X:$X,'Learning Paths'!AA:AA)</f>
        <v>#N/A</v>
      </c>
      <c r="F19" s="16">
        <f>LOOKUP(Table1[[#This Row],[Indigo ID Number]],'Learning Paths'!$X:$X,'Learning Paths'!AA:AA)</f>
        <v>0.25</v>
      </c>
      <c r="G19" s="16">
        <f>LOOKUP(Table1[[#This Row],[Indigo ID Number]],'Learning Paths'!$X:$X,'Learning Paths'!AB:AB)</f>
        <v>0</v>
      </c>
      <c r="H19" s="16">
        <f>LOOKUP(Table1[[#This Row],[Indigo ID Number]],'Learning Paths'!$X:$X,'Learning Paths'!AC:AC)</f>
        <v>0</v>
      </c>
      <c r="I19" s="16">
        <f>LOOKUP(Table1[[#This Row],[Indigo ID Number]],'Learning Paths'!$X:$X,'Learning Paths'!AD:AD)</f>
        <v>0</v>
      </c>
      <c r="J19" s="16">
        <f>LOOKUP(Table1[[#This Row],[Indigo ID Number]],'Learning Paths'!$X:$X,'Learning Paths'!AE:AE)</f>
        <v>0.25</v>
      </c>
      <c r="K19" s="16">
        <f>LOOKUP(Table1[[#This Row],[Indigo ID Number]],'Learning Paths'!$X:$X,'Learning Paths'!AF:AF)</f>
        <v>0.25</v>
      </c>
    </row>
    <row r="20" spans="1:11" ht="15.75" x14ac:dyDescent="0.25">
      <c r="A20" s="26"/>
      <c r="B20" t="s">
        <v>63</v>
      </c>
      <c r="C20" s="14" t="str">
        <f>LOOKUP(Table1[[#This Row],[Indigo ID Number]],'Learning Paths'!$X:$X,'Learning Paths'!Y:Y)</f>
        <v>Confined Space Entry</v>
      </c>
      <c r="D20" s="16" t="str">
        <f>LOOKUP(Table1[[#This Row],[Indigo ID Number]],'Learning Paths'!$X:$X,'Learning Paths'!Z:Z)</f>
        <v>25-05999-001</v>
      </c>
      <c r="E20" s="16" t="e">
        <f>LOOKUP(Table1[[#This Row],[Existing Approval No.]],'Learning Paths'!$X:$X,'Learning Paths'!AA:AA)</f>
        <v>#N/A</v>
      </c>
      <c r="F20" s="16">
        <f>LOOKUP(Table1[[#This Row],[Indigo ID Number]],'Learning Paths'!$X:$X,'Learning Paths'!AA:AA)</f>
        <v>0.15</v>
      </c>
      <c r="G20" s="16">
        <f>LOOKUP(Table1[[#This Row],[Indigo ID Number]],'Learning Paths'!$X:$X,'Learning Paths'!AB:AB)</f>
        <v>0.15</v>
      </c>
      <c r="H20" s="16">
        <f>LOOKUP(Table1[[#This Row],[Indigo ID Number]],'Learning Paths'!$X:$X,'Learning Paths'!AC:AC)</f>
        <v>0.15</v>
      </c>
      <c r="I20" s="16">
        <f>LOOKUP(Table1[[#This Row],[Indigo ID Number]],'Learning Paths'!$X:$X,'Learning Paths'!AD:AD)</f>
        <v>0.15</v>
      </c>
      <c r="J20" s="16">
        <f>LOOKUP(Table1[[#This Row],[Indigo ID Number]],'Learning Paths'!$X:$X,'Learning Paths'!AE:AE)</f>
        <v>0.15</v>
      </c>
      <c r="K20" s="16">
        <f>LOOKUP(Table1[[#This Row],[Indigo ID Number]],'Learning Paths'!$X:$X,'Learning Paths'!AF:AF)</f>
        <v>0.15</v>
      </c>
    </row>
    <row r="21" spans="1:11" ht="15.75" x14ac:dyDescent="0.25">
      <c r="B21" t="s">
        <v>89</v>
      </c>
      <c r="C21" s="14" t="str">
        <f>LOOKUP(Table1[[#This Row],[Indigo ID Number]],'Learning Paths'!$X:$X,'Learning Paths'!Y:Y)</f>
        <v>Introduction to Small Water Systems</v>
      </c>
      <c r="D21" s="16" t="str">
        <f>LOOKUP(Table1[[#This Row],[Indigo ID Number]],'Learning Paths'!$X:$X,'Learning Paths'!Z:Z)</f>
        <v>25-06034-002</v>
      </c>
      <c r="E21" s="16" t="e">
        <f>LOOKUP(Table1[[#This Row],[Existing Approval No.]],'Learning Paths'!$X:$X,'Learning Paths'!AA:AA)</f>
        <v>#N/A</v>
      </c>
      <c r="F21" s="16">
        <f>LOOKUP(Table1[[#This Row],[Indigo ID Number]],'Learning Paths'!$X:$X,'Learning Paths'!AA:AA)</f>
        <v>0.1</v>
      </c>
      <c r="G21" s="16">
        <f>LOOKUP(Table1[[#This Row],[Indigo ID Number]],'Learning Paths'!$X:$X,'Learning Paths'!AB:AB)</f>
        <v>0.1</v>
      </c>
      <c r="H21" s="16">
        <f>LOOKUP(Table1[[#This Row],[Indigo ID Number]],'Learning Paths'!$X:$X,'Learning Paths'!AC:AC)</f>
        <v>0</v>
      </c>
      <c r="I21" s="16">
        <f>LOOKUP(Table1[[#This Row],[Indigo ID Number]],'Learning Paths'!$X:$X,'Learning Paths'!AD:AD)</f>
        <v>0</v>
      </c>
      <c r="J21" s="16">
        <f>LOOKUP(Table1[[#This Row],[Indigo ID Number]],'Learning Paths'!$X:$X,'Learning Paths'!AE:AE)</f>
        <v>0.1</v>
      </c>
      <c r="K21" s="16">
        <f>LOOKUP(Table1[[#This Row],[Indigo ID Number]],'Learning Paths'!$X:$X,'Learning Paths'!AF:AF)</f>
        <v>0</v>
      </c>
    </row>
    <row r="22" spans="1:11" ht="15.75" x14ac:dyDescent="0.25">
      <c r="A22" s="26"/>
      <c r="B22" t="s">
        <v>90</v>
      </c>
      <c r="C22" s="14" t="str">
        <f>LOOKUP(Table1[[#This Row],[Indigo ID Number]],'Learning Paths'!$X:$X,'Learning Paths'!Y:Y)</f>
        <v>Water Sources Part 1</v>
      </c>
      <c r="D22" s="16" t="str">
        <f>LOOKUP(Table1[[#This Row],[Indigo ID Number]],'Learning Paths'!$X:$X,'Learning Paths'!Z:Z)</f>
        <v>25-06035-001</v>
      </c>
      <c r="E22" s="16" t="e">
        <f>LOOKUP(Table1[[#This Row],[Existing Approval No.]],'Learning Paths'!$X:$X,'Learning Paths'!AA:AA)</f>
        <v>#N/A</v>
      </c>
      <c r="F22" s="16">
        <f>LOOKUP(Table1[[#This Row],[Indigo ID Number]],'Learning Paths'!$X:$X,'Learning Paths'!AA:AA)</f>
        <v>0.15</v>
      </c>
      <c r="G22" s="16">
        <f>LOOKUP(Table1[[#This Row],[Indigo ID Number]],'Learning Paths'!$X:$X,'Learning Paths'!AB:AB)</f>
        <v>0.15</v>
      </c>
      <c r="H22" s="16">
        <f>LOOKUP(Table1[[#This Row],[Indigo ID Number]],'Learning Paths'!$X:$X,'Learning Paths'!AC:AC)</f>
        <v>0</v>
      </c>
      <c r="I22" s="16">
        <f>LOOKUP(Table1[[#This Row],[Indigo ID Number]],'Learning Paths'!$X:$X,'Learning Paths'!AD:AD)</f>
        <v>0</v>
      </c>
      <c r="J22" s="16">
        <f>LOOKUP(Table1[[#This Row],[Indigo ID Number]],'Learning Paths'!$X:$X,'Learning Paths'!AE:AE)</f>
        <v>0.15</v>
      </c>
      <c r="K22" s="16">
        <f>LOOKUP(Table1[[#This Row],[Indigo ID Number]],'Learning Paths'!$X:$X,'Learning Paths'!AF:AF)</f>
        <v>0</v>
      </c>
    </row>
    <row r="23" spans="1:11" ht="15.75" x14ac:dyDescent="0.25">
      <c r="A23" s="26"/>
      <c r="B23" t="s">
        <v>91</v>
      </c>
      <c r="C23" s="14" t="str">
        <f>LOOKUP(Table1[[#This Row],[Indigo ID Number]],'Learning Paths'!$X:$X,'Learning Paths'!Y:Y)</f>
        <v>Water Sources Part 2</v>
      </c>
      <c r="D23" s="16" t="str">
        <f>LOOKUP(Table1[[#This Row],[Indigo ID Number]],'Learning Paths'!$X:$X,'Learning Paths'!Z:Z)</f>
        <v>25-06036-001</v>
      </c>
      <c r="E23" s="16" t="e">
        <f>LOOKUP(Table1[[#This Row],[Existing Approval No.]],'Learning Paths'!$X:$X,'Learning Paths'!AA:AA)</f>
        <v>#N/A</v>
      </c>
      <c r="F23" s="16">
        <f>LOOKUP(Table1[[#This Row],[Indigo ID Number]],'Learning Paths'!$X:$X,'Learning Paths'!AA:AA)</f>
        <v>0.1</v>
      </c>
      <c r="G23" s="16">
        <f>LOOKUP(Table1[[#This Row],[Indigo ID Number]],'Learning Paths'!$X:$X,'Learning Paths'!AB:AB)</f>
        <v>0.1</v>
      </c>
      <c r="H23" s="16">
        <f>LOOKUP(Table1[[#This Row],[Indigo ID Number]],'Learning Paths'!$X:$X,'Learning Paths'!AC:AC)</f>
        <v>0</v>
      </c>
      <c r="I23" s="16">
        <f>LOOKUP(Table1[[#This Row],[Indigo ID Number]],'Learning Paths'!$X:$X,'Learning Paths'!AD:AD)</f>
        <v>0.1</v>
      </c>
      <c r="J23" s="16">
        <f>LOOKUP(Table1[[#This Row],[Indigo ID Number]],'Learning Paths'!$X:$X,'Learning Paths'!AE:AE)</f>
        <v>0.1</v>
      </c>
      <c r="K23" s="16">
        <f>LOOKUP(Table1[[#This Row],[Indigo ID Number]],'Learning Paths'!$X:$X,'Learning Paths'!AF:AF)</f>
        <v>0</v>
      </c>
    </row>
    <row r="24" spans="1:11" ht="15.75" x14ac:dyDescent="0.25">
      <c r="A24" s="26"/>
      <c r="B24" t="s">
        <v>92</v>
      </c>
      <c r="C24" s="14" t="str">
        <f>LOOKUP(Table1[[#This Row],[Indigo ID Number]],'Learning Paths'!$X:$X,'Learning Paths'!Y:Y)</f>
        <v>Drinking Water Treatment Part 1</v>
      </c>
      <c r="D24" s="16" t="str">
        <f>LOOKUP(Table1[[#This Row],[Indigo ID Number]],'Learning Paths'!$X:$X,'Learning Paths'!Z:Z)</f>
        <v>25-06037-001</v>
      </c>
      <c r="E24" s="16" t="e">
        <f>LOOKUP(Table1[[#This Row],[Existing Approval No.]],'Learning Paths'!$X:$X,'Learning Paths'!AA:AA)</f>
        <v>#N/A</v>
      </c>
      <c r="F24" s="16">
        <f>LOOKUP(Table1[[#This Row],[Indigo ID Number]],'Learning Paths'!$X:$X,'Learning Paths'!AA:AA)</f>
        <v>0.25</v>
      </c>
      <c r="G24" s="16">
        <f>LOOKUP(Table1[[#This Row],[Indigo ID Number]],'Learning Paths'!$X:$X,'Learning Paths'!AB:AB)</f>
        <v>0.25</v>
      </c>
      <c r="H24" s="16">
        <f>LOOKUP(Table1[[#This Row],[Indigo ID Number]],'Learning Paths'!$X:$X,'Learning Paths'!AC:AC)</f>
        <v>0</v>
      </c>
      <c r="I24" s="16">
        <f>LOOKUP(Table1[[#This Row],[Indigo ID Number]],'Learning Paths'!$X:$X,'Learning Paths'!AD:AD)</f>
        <v>0</v>
      </c>
      <c r="J24" s="16">
        <f>LOOKUP(Table1[[#This Row],[Indigo ID Number]],'Learning Paths'!$X:$X,'Learning Paths'!AE:AE)</f>
        <v>0</v>
      </c>
      <c r="K24" s="16">
        <f>LOOKUP(Table1[[#This Row],[Indigo ID Number]],'Learning Paths'!$X:$X,'Learning Paths'!AF:AF)</f>
        <v>0</v>
      </c>
    </row>
    <row r="25" spans="1:11" ht="15.75" x14ac:dyDescent="0.25">
      <c r="A25" s="26"/>
      <c r="B25" t="s">
        <v>93</v>
      </c>
      <c r="C25" s="14" t="str">
        <f>LOOKUP(Table1[[#This Row],[Indigo ID Number]],'Learning Paths'!$X:$X,'Learning Paths'!Y:Y)</f>
        <v>Water Treatment Part 2 (Disinfection, Water Focus)</v>
      </c>
      <c r="D25" s="16" t="str">
        <f>LOOKUP(Table1[[#This Row],[Indigo ID Number]],'Learning Paths'!$X:$X,'Learning Paths'!Z:Z)</f>
        <v>25-06038-001</v>
      </c>
      <c r="E25" s="16" t="e">
        <f>LOOKUP(Table1[[#This Row],[Existing Approval No.]],'Learning Paths'!$X:$X,'Learning Paths'!AA:AA)</f>
        <v>#N/A</v>
      </c>
      <c r="F25" s="16">
        <f>LOOKUP(Table1[[#This Row],[Indigo ID Number]],'Learning Paths'!$X:$X,'Learning Paths'!AA:AA)</f>
        <v>0.25</v>
      </c>
      <c r="G25" s="16">
        <f>LOOKUP(Table1[[#This Row],[Indigo ID Number]],'Learning Paths'!$X:$X,'Learning Paths'!AB:AB)</f>
        <v>0.25</v>
      </c>
      <c r="H25" s="16">
        <f>LOOKUP(Table1[[#This Row],[Indigo ID Number]],'Learning Paths'!$X:$X,'Learning Paths'!AC:AC)</f>
        <v>0.25</v>
      </c>
      <c r="I25" s="16">
        <f>LOOKUP(Table1[[#This Row],[Indigo ID Number]],'Learning Paths'!$X:$X,'Learning Paths'!AD:AD)</f>
        <v>0.25</v>
      </c>
      <c r="J25" s="16">
        <f>LOOKUP(Table1[[#This Row],[Indigo ID Number]],'Learning Paths'!$X:$X,'Learning Paths'!AE:AE)</f>
        <v>0.25</v>
      </c>
      <c r="K25" s="16">
        <f>LOOKUP(Table1[[#This Row],[Indigo ID Number]],'Learning Paths'!$X:$X,'Learning Paths'!AF:AF)</f>
        <v>0</v>
      </c>
    </row>
    <row r="26" spans="1:11" ht="15.75" x14ac:dyDescent="0.25">
      <c r="A26" s="26"/>
      <c r="B26" t="s">
        <v>94</v>
      </c>
      <c r="C26" s="14" t="str">
        <f>LOOKUP(Table1[[#This Row],[Indigo ID Number]],'Learning Paths'!$X:$X,'Learning Paths'!Y:Y)</f>
        <v>Intro to Distribution Systems</v>
      </c>
      <c r="D26" s="16" t="str">
        <f>LOOKUP(Table1[[#This Row],[Indigo ID Number]],'Learning Paths'!$X:$X,'Learning Paths'!Z:Z)</f>
        <v>25-06696-001</v>
      </c>
      <c r="E26" s="16" t="e">
        <f>LOOKUP(Table1[[#This Row],[Existing Approval No.]],'Learning Paths'!$X:$X,'Learning Paths'!AA:AA)</f>
        <v>#N/A</v>
      </c>
      <c r="F26" s="16">
        <f>LOOKUP(Table1[[#This Row],[Indigo ID Number]],'Learning Paths'!$X:$X,'Learning Paths'!AA:AA)</f>
        <v>0.2</v>
      </c>
      <c r="G26" s="16">
        <f>LOOKUP(Table1[[#This Row],[Indigo ID Number]],'Learning Paths'!$X:$X,'Learning Paths'!AB:AB)</f>
        <v>0.1</v>
      </c>
      <c r="H26" s="16">
        <f>LOOKUP(Table1[[#This Row],[Indigo ID Number]],'Learning Paths'!$X:$X,'Learning Paths'!AC:AC)</f>
        <v>0.1</v>
      </c>
      <c r="I26" s="16">
        <f>LOOKUP(Table1[[#This Row],[Indigo ID Number]],'Learning Paths'!$X:$X,'Learning Paths'!AD:AD)</f>
        <v>0.1</v>
      </c>
      <c r="J26" s="16">
        <f>LOOKUP(Table1[[#This Row],[Indigo ID Number]],'Learning Paths'!$X:$X,'Learning Paths'!AE:AE)</f>
        <v>0.2</v>
      </c>
      <c r="K26" s="16">
        <f>LOOKUP(Table1[[#This Row],[Indigo ID Number]],'Learning Paths'!$X:$X,'Learning Paths'!AF:AF)</f>
        <v>0.1</v>
      </c>
    </row>
    <row r="27" spans="1:11" ht="15.75" x14ac:dyDescent="0.25">
      <c r="A27" s="26"/>
      <c r="B27" t="s">
        <v>95</v>
      </c>
      <c r="C27" s="14" t="str">
        <f>LOOKUP(Table1[[#This Row],[Indigo ID Number]],'Learning Paths'!$X:$X,'Learning Paths'!Y:Y)</f>
        <v>MRT Drinking Water Regulatory Course</v>
      </c>
      <c r="D27" s="16" t="str">
        <f>LOOKUP(Table1[[#This Row],[Indigo ID Number]],'Learning Paths'!$X:$X,'Learning Paths'!Z:Z)</f>
        <v>25-06743-002</v>
      </c>
      <c r="E27" s="16" t="e">
        <f>LOOKUP(Table1[[#This Row],[Existing Approval No.]],'Learning Paths'!$X:$X,'Learning Paths'!AA:AA)</f>
        <v>#N/A</v>
      </c>
      <c r="F27" s="16">
        <f>LOOKUP(Table1[[#This Row],[Indigo ID Number]],'Learning Paths'!$X:$X,'Learning Paths'!AA:AA)</f>
        <v>0.3</v>
      </c>
      <c r="G27" s="16">
        <f>LOOKUP(Table1[[#This Row],[Indigo ID Number]],'Learning Paths'!$X:$X,'Learning Paths'!AB:AB)</f>
        <v>0.3</v>
      </c>
      <c r="H27" s="16">
        <f>LOOKUP(Table1[[#This Row],[Indigo ID Number]],'Learning Paths'!$X:$X,'Learning Paths'!AC:AC)</f>
        <v>0</v>
      </c>
      <c r="I27" s="16">
        <f>LOOKUP(Table1[[#This Row],[Indigo ID Number]],'Learning Paths'!$X:$X,'Learning Paths'!AD:AD)</f>
        <v>0</v>
      </c>
      <c r="J27" s="16">
        <f>LOOKUP(Table1[[#This Row],[Indigo ID Number]],'Learning Paths'!$X:$X,'Learning Paths'!AE:AE)</f>
        <v>0.3</v>
      </c>
      <c r="K27" s="16">
        <f>LOOKUP(Table1[[#This Row],[Indigo ID Number]],'Learning Paths'!$X:$X,'Learning Paths'!AF:AF)</f>
        <v>0</v>
      </c>
    </row>
    <row r="28" spans="1:11" ht="15.75" x14ac:dyDescent="0.25">
      <c r="A28" s="26"/>
      <c r="B28" t="str">
        <f>'2025NewCourses'!B83</f>
        <v>WATER-009</v>
      </c>
      <c r="C28" s="14" t="str">
        <f>'2025NewCourses'!D83</f>
        <v>Water Storage Tanks Part 1 - Components</v>
      </c>
      <c r="D28" s="16" t="str">
        <f>'2025NewCourses'!AJ83</f>
        <v>25-10976-001</v>
      </c>
      <c r="E28" s="16"/>
      <c r="F28" s="18">
        <f>'2025NewCourses'!AN83</f>
        <v>0.1</v>
      </c>
      <c r="G28" s="18">
        <f>'2025NewCourses'!AO83</f>
        <v>0.1</v>
      </c>
      <c r="H28" s="18">
        <f>'2025NewCourses'!AP83</f>
        <v>0.1</v>
      </c>
      <c r="I28" s="18">
        <f>'2025NewCourses'!AQ83</f>
        <v>0.1</v>
      </c>
      <c r="J28" s="18">
        <f>'2025NewCourses'!AR83</f>
        <v>0.1</v>
      </c>
      <c r="K28" s="18">
        <f>'2025NewCourses'!AS83</f>
        <v>0</v>
      </c>
    </row>
    <row r="29" spans="1:11" ht="15.75" x14ac:dyDescent="0.25">
      <c r="A29" s="26"/>
      <c r="B29" t="str">
        <f>'2025NewCourses'!B84</f>
        <v>WATER-010</v>
      </c>
      <c r="C29" s="14" t="str">
        <f>'2025NewCourses'!D84</f>
        <v>Water Storage Tanks Part 2 - Water Age and Quality</v>
      </c>
      <c r="D29" s="16" t="str">
        <f>'2025NewCourses'!AJ84</f>
        <v>25-10977-001</v>
      </c>
      <c r="E29" s="16" t="e">
        <f>LOOKUP(Table1[[#This Row],[Existing Approval No.]],'Learning Paths'!$X:$X,'Learning Paths'!AA:AA)</f>
        <v>#N/A</v>
      </c>
      <c r="F29" s="16">
        <f>'2025NewCourses'!AN84</f>
        <v>0.1</v>
      </c>
      <c r="G29" s="16">
        <f>'2025NewCourses'!AO84</f>
        <v>0.1</v>
      </c>
      <c r="H29" s="16">
        <f>'2025NewCourses'!AP84</f>
        <v>0.1</v>
      </c>
      <c r="I29" s="16">
        <f>'2025NewCourses'!AQ84</f>
        <v>0.1</v>
      </c>
      <c r="J29" s="16">
        <f>'2025NewCourses'!AR84</f>
        <v>0.1</v>
      </c>
      <c r="K29" s="16">
        <f>'2025NewCourses'!AS84</f>
        <v>0</v>
      </c>
    </row>
    <row r="30" spans="1:11" ht="15.75" x14ac:dyDescent="0.25">
      <c r="A30" s="26"/>
      <c r="B30" t="str">
        <f>'2025NewCourses'!B85</f>
        <v>WATER-011</v>
      </c>
      <c r="C30" s="14" t="str">
        <f>'2025NewCourses'!D85</f>
        <v>Water Storage Tanks Part 3 - Inspections</v>
      </c>
      <c r="D30" s="16" t="str">
        <f>'2025NewCourses'!AJ85</f>
        <v>25-10978-001</v>
      </c>
      <c r="E30" s="16" t="e">
        <f>LOOKUP(Table1[[#This Row],[Existing Approval No.]],'Learning Paths'!$X:$X,'Learning Paths'!AA:AA)</f>
        <v>#N/A</v>
      </c>
      <c r="F30" s="16">
        <f>'2025NewCourses'!AN85</f>
        <v>0.1</v>
      </c>
      <c r="G30" s="16">
        <f>'2025NewCourses'!AO85</f>
        <v>0.1</v>
      </c>
      <c r="H30" s="16">
        <f>'2025NewCourses'!AP85</f>
        <v>0.1</v>
      </c>
      <c r="I30" s="16">
        <f>'2025NewCourses'!AQ85</f>
        <v>0.1</v>
      </c>
      <c r="J30" s="16">
        <f>'2025NewCourses'!AR85</f>
        <v>0.1</v>
      </c>
      <c r="K30" s="16">
        <f>'2025NewCourses'!AS85</f>
        <v>0</v>
      </c>
    </row>
    <row r="31" spans="1:11" ht="15.75" x14ac:dyDescent="0.25">
      <c r="A31" s="26"/>
      <c r="C31" s="14"/>
      <c r="D31" s="16"/>
      <c r="E31" s="16"/>
      <c r="F31" s="16"/>
      <c r="G31" s="16"/>
      <c r="H31" s="16"/>
      <c r="I31" s="16"/>
      <c r="J31" s="16"/>
      <c r="K31" s="16"/>
    </row>
    <row r="32" spans="1:11" ht="15.75" x14ac:dyDescent="0.25">
      <c r="A32" s="26"/>
      <c r="C32" s="14"/>
      <c r="D32" s="16"/>
      <c r="E32" s="16"/>
      <c r="F32" s="18"/>
      <c r="G32" s="18"/>
      <c r="H32" s="18"/>
      <c r="I32" s="18"/>
      <c r="J32" s="18"/>
      <c r="K32" s="18"/>
    </row>
    <row r="33" spans="2:11" x14ac:dyDescent="0.25">
      <c r="F33" s="5"/>
      <c r="G33" s="5"/>
      <c r="H33" s="5"/>
      <c r="I33" s="5"/>
      <c r="J33" s="5"/>
      <c r="K33" s="5"/>
    </row>
    <row r="34" spans="2:11" ht="15.75" x14ac:dyDescent="0.25">
      <c r="B34" s="4" t="s">
        <v>299</v>
      </c>
      <c r="F34" s="2" t="s">
        <v>253</v>
      </c>
      <c r="G34" s="2" t="s">
        <v>22</v>
      </c>
      <c r="H34" s="2" t="s">
        <v>23</v>
      </c>
      <c r="I34" s="2" t="s">
        <v>26</v>
      </c>
      <c r="J34" s="2" t="s">
        <v>25</v>
      </c>
      <c r="K34" s="2" t="s">
        <v>24</v>
      </c>
    </row>
    <row r="35" spans="2:11" ht="15.75" x14ac:dyDescent="0.25">
      <c r="B35" s="4" t="s">
        <v>300</v>
      </c>
      <c r="D35" s="6" t="s">
        <v>254</v>
      </c>
      <c r="F35" s="3">
        <f t="shared" ref="F35:K35" si="0">SUM(F4:F32)</f>
        <v>3.8000000000000007</v>
      </c>
      <c r="G35" s="3">
        <f t="shared" si="0"/>
        <v>3.4500000000000006</v>
      </c>
      <c r="H35" s="3">
        <f t="shared" si="0"/>
        <v>2.4000000000000008</v>
      </c>
      <c r="I35" s="3">
        <f t="shared" si="0"/>
        <v>2.5000000000000009</v>
      </c>
      <c r="J35" s="3">
        <f t="shared" si="0"/>
        <v>3.4500000000000006</v>
      </c>
      <c r="K35" s="3">
        <f t="shared" si="0"/>
        <v>1.6000000000000003</v>
      </c>
    </row>
    <row r="36" spans="2:11" ht="15.75" x14ac:dyDescent="0.25">
      <c r="D36" s="24" t="s">
        <v>311</v>
      </c>
      <c r="E36" s="14"/>
      <c r="F36" s="23">
        <f t="shared" ref="F36:K36" si="1">F35*10*60</f>
        <v>2280.0000000000005</v>
      </c>
      <c r="G36" s="23">
        <f t="shared" si="1"/>
        <v>2070.0000000000005</v>
      </c>
      <c r="H36" s="23">
        <f t="shared" si="1"/>
        <v>1440.0000000000005</v>
      </c>
      <c r="I36" s="23">
        <f t="shared" si="1"/>
        <v>1500.0000000000005</v>
      </c>
      <c r="J36" s="23">
        <f t="shared" si="1"/>
        <v>2070.0000000000005</v>
      </c>
      <c r="K36" s="23">
        <f t="shared" si="1"/>
        <v>960.00000000000023</v>
      </c>
    </row>
    <row r="38" spans="2:11" x14ac:dyDescent="0.25">
      <c r="B38" s="314" t="s">
        <v>919</v>
      </c>
      <c r="C38" s="315"/>
      <c r="D38" s="315"/>
      <c r="E38" s="315"/>
      <c r="F38" s="315"/>
      <c r="G38" s="315"/>
      <c r="H38" s="315"/>
      <c r="I38" s="315"/>
      <c r="J38" s="315"/>
    </row>
    <row r="39" spans="2:11" ht="15.75" x14ac:dyDescent="0.25">
      <c r="B39" s="4" t="s">
        <v>920</v>
      </c>
      <c r="C39" s="14"/>
      <c r="D39" s="14"/>
      <c r="E39" s="14"/>
      <c r="F39" s="14"/>
      <c r="G39" s="14"/>
      <c r="H39" s="14"/>
      <c r="I39" s="14"/>
      <c r="J39" s="14"/>
    </row>
    <row r="41" spans="2:11" x14ac:dyDescent="0.25">
      <c r="D41" s="6" t="s">
        <v>255</v>
      </c>
      <c r="F41" s="7">
        <v>550</v>
      </c>
    </row>
  </sheetData>
  <sortState xmlns:xlrd2="http://schemas.microsoft.com/office/spreadsheetml/2017/richdata2" ref="N4:N27">
    <sortCondition ref="N4:N27"/>
  </sortState>
  <mergeCells count="1">
    <mergeCell ref="B38:J38"/>
  </mergeCells>
  <pageMargins left="0.7" right="0.7" top="0.75" bottom="0.75" header="0.3" footer="0.3"/>
  <pageSetup scale="81" orientation="landscape" horizontalDpi="4294967293" verticalDpi="1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T98"/>
  <sheetViews>
    <sheetView zoomScale="130" zoomScaleNormal="130" workbookViewId="0"/>
  </sheetViews>
  <sheetFormatPr defaultRowHeight="15" x14ac:dyDescent="0.25"/>
  <cols>
    <col min="1" max="1" width="31.7109375" customWidth="1"/>
    <col min="2" max="3" width="9.140625" style="46"/>
    <col min="4" max="4" width="9.140625" style="28"/>
    <col min="5" max="5" width="0" style="28" hidden="1" customWidth="1"/>
    <col min="6" max="6" width="9.140625" style="28"/>
    <col min="7" max="11" width="7.42578125" style="28" customWidth="1"/>
    <col min="13" max="13" width="0" style="1" hidden="1" customWidth="1"/>
    <col min="14" max="15" width="0" hidden="1" customWidth="1"/>
    <col min="17" max="17" width="32" customWidth="1"/>
  </cols>
  <sheetData>
    <row r="1" spans="1:14" s="9" customFormat="1" ht="18.75" x14ac:dyDescent="0.3">
      <c r="A1" s="9" t="s">
        <v>1283</v>
      </c>
      <c r="B1" s="45"/>
      <c r="C1" s="45"/>
      <c r="D1" s="27"/>
      <c r="E1" s="27"/>
      <c r="F1" s="27"/>
      <c r="G1" s="27"/>
      <c r="H1" s="27"/>
      <c r="I1" s="27"/>
      <c r="J1" s="27"/>
      <c r="K1" s="27"/>
      <c r="M1" s="44"/>
    </row>
    <row r="2" spans="1:14" ht="8.25" customHeight="1" x14ac:dyDescent="0.25"/>
    <row r="3" spans="1:14" ht="15.75" hidden="1" thickBot="1" x14ac:dyDescent="0.3">
      <c r="A3" s="31" t="s">
        <v>249</v>
      </c>
      <c r="B3" s="47" t="s">
        <v>452</v>
      </c>
      <c r="C3" s="47" t="s">
        <v>453</v>
      </c>
      <c r="D3" s="32" t="s">
        <v>291</v>
      </c>
      <c r="E3" s="32"/>
      <c r="F3" s="32"/>
      <c r="G3" s="32" t="s">
        <v>22</v>
      </c>
      <c r="H3" s="32" t="s">
        <v>23</v>
      </c>
      <c r="I3" s="32" t="s">
        <v>26</v>
      </c>
      <c r="J3" s="32" t="s">
        <v>25</v>
      </c>
      <c r="K3" s="32" t="s">
        <v>24</v>
      </c>
      <c r="M3" s="43" t="s">
        <v>1067</v>
      </c>
    </row>
    <row r="4" spans="1:14" ht="15.75" hidden="1" thickTop="1" x14ac:dyDescent="0.25">
      <c r="A4" t="s">
        <v>454</v>
      </c>
      <c r="B4" s="46">
        <v>0.32291666666666669</v>
      </c>
      <c r="C4" s="46">
        <v>0.33333333333333331</v>
      </c>
      <c r="D4" s="30">
        <f>C4-B4</f>
        <v>1.041666666666663E-2</v>
      </c>
      <c r="E4" s="30"/>
      <c r="F4" s="30"/>
    </row>
    <row r="5" spans="1:14" hidden="1" x14ac:dyDescent="0.25">
      <c r="A5" t="s">
        <v>0</v>
      </c>
      <c r="B5" s="46">
        <v>0.33333333333333331</v>
      </c>
      <c r="C5" s="46">
        <v>0.41666666666666669</v>
      </c>
      <c r="D5" s="30">
        <f t="shared" ref="D5:D11" si="0">C5-B5</f>
        <v>8.333333333333337E-2</v>
      </c>
      <c r="E5" s="30"/>
      <c r="F5" s="30"/>
      <c r="G5" s="28">
        <v>0.2</v>
      </c>
      <c r="H5" s="28">
        <v>0.2</v>
      </c>
      <c r="I5" s="28">
        <v>0.2</v>
      </c>
      <c r="J5" s="28">
        <v>0.2</v>
      </c>
      <c r="K5" s="28">
        <v>0.2</v>
      </c>
      <c r="M5" s="28">
        <v>131</v>
      </c>
    </row>
    <row r="6" spans="1:14" hidden="1" x14ac:dyDescent="0.25">
      <c r="A6" s="33" t="s">
        <v>455</v>
      </c>
      <c r="B6" s="48">
        <v>0.41666666666666669</v>
      </c>
      <c r="C6" s="48">
        <v>0.42708333333333331</v>
      </c>
      <c r="D6" s="34">
        <f t="shared" si="0"/>
        <v>1.041666666666663E-2</v>
      </c>
      <c r="E6" s="34"/>
      <c r="F6" s="34"/>
      <c r="G6" s="35"/>
      <c r="H6" s="35"/>
      <c r="I6" s="35"/>
      <c r="J6" s="35"/>
      <c r="K6" s="35"/>
    </row>
    <row r="7" spans="1:14" hidden="1" x14ac:dyDescent="0.25">
      <c r="A7" t="s">
        <v>456</v>
      </c>
      <c r="B7" s="46">
        <v>0.42708333333333331</v>
      </c>
      <c r="C7" s="46">
        <v>0.48958333333333331</v>
      </c>
      <c r="D7" s="30">
        <f t="shared" si="0"/>
        <v>6.25E-2</v>
      </c>
      <c r="E7" s="30"/>
      <c r="F7" s="30"/>
      <c r="G7" s="28">
        <v>0.15</v>
      </c>
      <c r="H7" s="28">
        <v>0.15</v>
      </c>
      <c r="I7" s="28">
        <v>0.15</v>
      </c>
      <c r="J7" s="28">
        <v>0.15</v>
      </c>
      <c r="K7" s="28">
        <v>0.15</v>
      </c>
    </row>
    <row r="8" spans="1:14" hidden="1" x14ac:dyDescent="0.25">
      <c r="A8" s="33" t="s">
        <v>457</v>
      </c>
      <c r="B8" s="48">
        <v>0.48958333333333331</v>
      </c>
      <c r="C8" s="48">
        <v>0.52083333333333337</v>
      </c>
      <c r="D8" s="34">
        <f t="shared" si="0"/>
        <v>3.1250000000000056E-2</v>
      </c>
      <c r="E8" s="34"/>
      <c r="F8" s="34"/>
      <c r="G8" s="35"/>
      <c r="H8" s="35"/>
      <c r="I8" s="35"/>
      <c r="J8" s="35"/>
      <c r="K8" s="35"/>
      <c r="M8" s="1">
        <v>81</v>
      </c>
      <c r="N8" t="s">
        <v>308</v>
      </c>
    </row>
    <row r="9" spans="1:14" hidden="1" x14ac:dyDescent="0.25">
      <c r="A9" t="s">
        <v>153</v>
      </c>
      <c r="B9" s="46">
        <v>0.52083333333333337</v>
      </c>
      <c r="C9" s="46">
        <v>0.60416666666666663</v>
      </c>
      <c r="D9" s="30">
        <f t="shared" si="0"/>
        <v>8.3333333333333259E-2</v>
      </c>
      <c r="E9" s="30"/>
      <c r="F9" s="30"/>
      <c r="G9" s="28">
        <v>0.1</v>
      </c>
      <c r="H9" s="28">
        <v>0.2</v>
      </c>
      <c r="I9" s="28">
        <v>0.2</v>
      </c>
      <c r="M9" s="1">
        <v>56</v>
      </c>
      <c r="N9" t="s">
        <v>1068</v>
      </c>
    </row>
    <row r="10" spans="1:14" hidden="1" x14ac:dyDescent="0.25">
      <c r="A10" s="33" t="s">
        <v>455</v>
      </c>
      <c r="B10" s="48">
        <v>0.60416666666666663</v>
      </c>
      <c r="C10" s="48">
        <v>0.61458333333333337</v>
      </c>
      <c r="D10" s="34">
        <f t="shared" si="0"/>
        <v>1.0416666666666741E-2</v>
      </c>
      <c r="E10" s="34"/>
      <c r="F10" s="34"/>
      <c r="G10" s="35"/>
      <c r="H10" s="35"/>
      <c r="I10" s="35"/>
      <c r="J10" s="35"/>
      <c r="K10" s="35"/>
      <c r="M10" s="1">
        <v>78</v>
      </c>
      <c r="N10" t="s">
        <v>1069</v>
      </c>
    </row>
    <row r="11" spans="1:14" ht="15.75" hidden="1" thickBot="1" x14ac:dyDescent="0.3">
      <c r="A11" s="36" t="s">
        <v>2</v>
      </c>
      <c r="B11" s="49">
        <v>0.61458333333333337</v>
      </c>
      <c r="C11" s="49">
        <v>0.69791666666666663</v>
      </c>
      <c r="D11" s="37">
        <f t="shared" si="0"/>
        <v>8.3333333333333259E-2</v>
      </c>
      <c r="E11" s="37"/>
      <c r="F11" s="37"/>
      <c r="G11" s="38">
        <v>0.2</v>
      </c>
      <c r="H11" s="38">
        <v>0.2</v>
      </c>
      <c r="I11" s="38">
        <v>0.2</v>
      </c>
      <c r="J11" s="38">
        <v>0.2</v>
      </c>
      <c r="K11" s="38"/>
      <c r="M11" s="1">
        <v>99</v>
      </c>
    </row>
    <row r="12" spans="1:14" ht="15.75" hidden="1" thickTop="1" x14ac:dyDescent="0.25">
      <c r="A12" t="s">
        <v>472</v>
      </c>
      <c r="D12" s="30">
        <f>SUM(D5,D7,D9,D11)</f>
        <v>0.31249999999999989</v>
      </c>
      <c r="E12" s="30"/>
      <c r="F12" s="30"/>
      <c r="G12" s="28">
        <f>SUM(G4:G11)</f>
        <v>0.64999999999999991</v>
      </c>
      <c r="H12" s="28">
        <f t="shared" ref="H12:K12" si="1">SUM(H4:H11)</f>
        <v>0.75</v>
      </c>
      <c r="I12" s="28">
        <f t="shared" si="1"/>
        <v>0.75</v>
      </c>
      <c r="J12" s="28">
        <f t="shared" si="1"/>
        <v>0.55000000000000004</v>
      </c>
      <c r="K12" s="28">
        <f t="shared" si="1"/>
        <v>0.35</v>
      </c>
      <c r="M12" s="2">
        <f>SUM(M4:M11)</f>
        <v>445</v>
      </c>
      <c r="N12" s="6" t="s">
        <v>287</v>
      </c>
    </row>
    <row r="13" spans="1:14" hidden="1" x14ac:dyDescent="0.25"/>
    <row r="14" spans="1:14" s="9" customFormat="1" ht="18.75" hidden="1" x14ac:dyDescent="0.3">
      <c r="A14" s="9" t="s">
        <v>258</v>
      </c>
      <c r="B14" s="45"/>
      <c r="C14" s="45"/>
      <c r="D14" s="27"/>
      <c r="E14" s="27"/>
      <c r="F14" s="27"/>
      <c r="G14" s="27"/>
      <c r="H14" s="27"/>
      <c r="I14" s="27"/>
      <c r="J14" s="27"/>
      <c r="K14" s="27"/>
      <c r="M14" s="44"/>
    </row>
    <row r="15" spans="1:14" ht="8.25" hidden="1" customHeight="1" x14ac:dyDescent="0.25">
      <c r="A15" s="6"/>
      <c r="B15" s="50"/>
      <c r="C15" s="50"/>
      <c r="D15" s="29"/>
      <c r="E15" s="29"/>
      <c r="F15" s="29"/>
      <c r="G15" s="29"/>
      <c r="H15" s="29"/>
      <c r="I15" s="29"/>
      <c r="J15" s="29"/>
      <c r="K15" s="29"/>
    </row>
    <row r="16" spans="1:14" ht="15.75" hidden="1" thickBot="1" x14ac:dyDescent="0.3">
      <c r="A16" s="31" t="s">
        <v>249</v>
      </c>
      <c r="B16" s="47" t="s">
        <v>452</v>
      </c>
      <c r="C16" s="47" t="s">
        <v>453</v>
      </c>
      <c r="D16" s="32" t="s">
        <v>291</v>
      </c>
      <c r="E16" s="32"/>
      <c r="F16" s="32"/>
      <c r="G16" s="32" t="s">
        <v>22</v>
      </c>
      <c r="H16" s="32" t="s">
        <v>23</v>
      </c>
      <c r="I16" s="32" t="s">
        <v>26</v>
      </c>
      <c r="J16" s="32" t="s">
        <v>25</v>
      </c>
      <c r="K16" s="32" t="s">
        <v>24</v>
      </c>
    </row>
    <row r="17" spans="1:14" ht="15.75" hidden="1" thickTop="1" x14ac:dyDescent="0.25">
      <c r="A17" t="s">
        <v>454</v>
      </c>
      <c r="B17" s="46">
        <v>0.32291666666666669</v>
      </c>
      <c r="C17" s="46">
        <v>0.33333333333333331</v>
      </c>
      <c r="D17" s="30">
        <f>C17-B17</f>
        <v>1.041666666666663E-2</v>
      </c>
      <c r="E17" s="30"/>
      <c r="F17" s="30"/>
    </row>
    <row r="18" spans="1:14" hidden="1" x14ac:dyDescent="0.25">
      <c r="A18" t="s">
        <v>458</v>
      </c>
      <c r="B18" s="46">
        <v>0.33333333333333331</v>
      </c>
      <c r="C18" s="46">
        <v>0.41666666666666669</v>
      </c>
      <c r="D18" s="30">
        <f t="shared" ref="D18:D25" si="2">C18-B18</f>
        <v>8.333333333333337E-2</v>
      </c>
      <c r="E18" s="30"/>
      <c r="F18" s="30"/>
      <c r="H18" s="28">
        <v>0.2</v>
      </c>
      <c r="I18" s="28">
        <v>0.2</v>
      </c>
      <c r="M18" s="1">
        <v>148</v>
      </c>
    </row>
    <row r="19" spans="1:14" hidden="1" x14ac:dyDescent="0.25">
      <c r="A19" s="33" t="s">
        <v>455</v>
      </c>
      <c r="B19" s="48">
        <v>0.41666666666666669</v>
      </c>
      <c r="C19" s="48">
        <v>0.42708333333333331</v>
      </c>
      <c r="D19" s="34">
        <f t="shared" si="2"/>
        <v>1.041666666666663E-2</v>
      </c>
      <c r="E19" s="34"/>
      <c r="F19" s="34"/>
      <c r="G19" s="35"/>
      <c r="H19" s="35"/>
      <c r="I19" s="35"/>
      <c r="J19" s="35"/>
      <c r="K19" s="35"/>
    </row>
    <row r="20" spans="1:14" hidden="1" x14ac:dyDescent="0.25">
      <c r="A20" t="s">
        <v>459</v>
      </c>
      <c r="B20" s="46">
        <v>0.42708333333333331</v>
      </c>
      <c r="C20" s="46">
        <v>0.46875</v>
      </c>
      <c r="D20" s="30">
        <f t="shared" si="2"/>
        <v>4.1666666666666685E-2</v>
      </c>
      <c r="E20" s="30"/>
      <c r="F20" s="30"/>
      <c r="H20" s="28">
        <v>0.1</v>
      </c>
      <c r="I20" s="28">
        <v>0.1</v>
      </c>
      <c r="M20" s="1">
        <v>74</v>
      </c>
    </row>
    <row r="21" spans="1:14" hidden="1" x14ac:dyDescent="0.25">
      <c r="A21" s="33" t="s">
        <v>457</v>
      </c>
      <c r="B21" s="48">
        <v>0.46875</v>
      </c>
      <c r="C21" s="48">
        <v>0.5</v>
      </c>
      <c r="D21" s="34">
        <f t="shared" si="2"/>
        <v>3.125E-2</v>
      </c>
      <c r="E21" s="34"/>
      <c r="F21" s="34"/>
      <c r="G21" s="35"/>
      <c r="H21" s="35"/>
      <c r="I21" s="35"/>
      <c r="J21" s="35"/>
      <c r="K21" s="35"/>
    </row>
    <row r="22" spans="1:14" hidden="1" x14ac:dyDescent="0.25">
      <c r="A22" t="s">
        <v>460</v>
      </c>
      <c r="B22" s="46">
        <v>0.5</v>
      </c>
      <c r="C22" s="46">
        <v>0.58333333333333337</v>
      </c>
      <c r="D22" s="30">
        <f t="shared" si="2"/>
        <v>8.333333333333337E-2</v>
      </c>
      <c r="E22" s="30"/>
      <c r="F22" s="30"/>
      <c r="G22" s="28">
        <v>0.2</v>
      </c>
      <c r="H22" s="28">
        <v>0.2</v>
      </c>
      <c r="I22" s="28">
        <v>0.2</v>
      </c>
      <c r="J22" s="28">
        <v>0.2</v>
      </c>
      <c r="K22" s="28">
        <v>0.2</v>
      </c>
    </row>
    <row r="23" spans="1:14" hidden="1" x14ac:dyDescent="0.25">
      <c r="A23" s="33" t="s">
        <v>455</v>
      </c>
      <c r="B23" s="48">
        <v>0.58333333333333337</v>
      </c>
      <c r="C23" s="48">
        <v>0.59375</v>
      </c>
      <c r="D23" s="34">
        <f t="shared" si="2"/>
        <v>1.041666666666663E-2</v>
      </c>
      <c r="E23" s="34"/>
      <c r="F23" s="34"/>
      <c r="G23" s="35"/>
      <c r="H23" s="35"/>
      <c r="I23" s="35"/>
      <c r="J23" s="35"/>
      <c r="K23" s="35"/>
    </row>
    <row r="24" spans="1:14" hidden="1" x14ac:dyDescent="0.25">
      <c r="A24" t="s">
        <v>461</v>
      </c>
      <c r="B24" s="46">
        <v>0.59375</v>
      </c>
      <c r="C24" s="46">
        <v>0.65625</v>
      </c>
      <c r="D24" s="30">
        <f t="shared" si="2"/>
        <v>6.25E-2</v>
      </c>
      <c r="E24" s="30"/>
      <c r="F24" s="30"/>
      <c r="G24" s="28">
        <v>0.15</v>
      </c>
      <c r="H24" s="28">
        <v>0.15</v>
      </c>
      <c r="I24" s="28">
        <v>0.15</v>
      </c>
      <c r="M24" s="1">
        <f>143-25</f>
        <v>118</v>
      </c>
    </row>
    <row r="25" spans="1:14" ht="15.75" hidden="1" thickBot="1" x14ac:dyDescent="0.3">
      <c r="A25" s="36" t="s">
        <v>462</v>
      </c>
      <c r="B25" s="49">
        <v>0.65625</v>
      </c>
      <c r="C25" s="49">
        <v>0.70833333333333337</v>
      </c>
      <c r="D25" s="37">
        <f t="shared" si="2"/>
        <v>5.208333333333337E-2</v>
      </c>
      <c r="E25" s="37"/>
      <c r="F25" s="37"/>
      <c r="G25" s="38"/>
      <c r="H25" s="38">
        <v>0.1</v>
      </c>
      <c r="I25" s="38">
        <v>0.1</v>
      </c>
      <c r="J25" s="38"/>
      <c r="K25" s="38"/>
      <c r="M25" s="1">
        <v>54</v>
      </c>
    </row>
    <row r="26" spans="1:14" ht="15.75" hidden="1" thickTop="1" x14ac:dyDescent="0.25">
      <c r="A26" t="s">
        <v>473</v>
      </c>
      <c r="D26" s="30">
        <f>SUM(D18,D20,D22,D24,D25)</f>
        <v>0.3229166666666668</v>
      </c>
      <c r="E26" s="30"/>
      <c r="F26" s="30"/>
      <c r="G26" s="28">
        <f>SUM(G17:G25)</f>
        <v>0.35</v>
      </c>
      <c r="H26" s="28">
        <f t="shared" ref="H26:K26" si="3">SUM(H17:H25)</f>
        <v>0.75</v>
      </c>
      <c r="I26" s="28">
        <f t="shared" si="3"/>
        <v>0.75</v>
      </c>
      <c r="J26" s="28">
        <f t="shared" si="3"/>
        <v>0.2</v>
      </c>
      <c r="K26" s="28">
        <f t="shared" si="3"/>
        <v>0.2</v>
      </c>
      <c r="M26" s="2">
        <f>SUM(M17:M25)</f>
        <v>394</v>
      </c>
      <c r="N26" s="6" t="s">
        <v>287</v>
      </c>
    </row>
    <row r="27" spans="1:14" hidden="1" x14ac:dyDescent="0.25"/>
    <row r="28" spans="1:14" s="9" customFormat="1" ht="18.75" hidden="1" x14ac:dyDescent="0.3">
      <c r="A28" s="9" t="s">
        <v>259</v>
      </c>
      <c r="B28" s="45"/>
      <c r="C28" s="45"/>
      <c r="D28" s="27"/>
      <c r="E28" s="27"/>
      <c r="F28" s="27"/>
      <c r="G28" s="27"/>
      <c r="H28" s="27"/>
      <c r="I28" s="27"/>
      <c r="J28" s="27"/>
      <c r="K28" s="27"/>
      <c r="M28" s="44"/>
    </row>
    <row r="29" spans="1:14" ht="6.75" hidden="1" customHeight="1" x14ac:dyDescent="0.25">
      <c r="A29" s="6"/>
      <c r="B29" s="50"/>
      <c r="C29" s="50"/>
      <c r="D29" s="29"/>
      <c r="E29" s="29"/>
      <c r="F29" s="29"/>
      <c r="G29" s="29"/>
      <c r="H29" s="29"/>
      <c r="I29" s="29"/>
      <c r="J29" s="29"/>
      <c r="K29" s="29"/>
    </row>
    <row r="30" spans="1:14" ht="15.75" hidden="1" thickBot="1" x14ac:dyDescent="0.3">
      <c r="A30" s="31" t="s">
        <v>249</v>
      </c>
      <c r="B30" s="47" t="s">
        <v>452</v>
      </c>
      <c r="C30" s="47" t="s">
        <v>453</v>
      </c>
      <c r="D30" s="32" t="s">
        <v>291</v>
      </c>
      <c r="E30" s="32"/>
      <c r="F30" s="32"/>
      <c r="G30" s="32" t="s">
        <v>22</v>
      </c>
      <c r="H30" s="32" t="s">
        <v>23</v>
      </c>
      <c r="I30" s="32" t="s">
        <v>26</v>
      </c>
      <c r="J30" s="32" t="s">
        <v>25</v>
      </c>
      <c r="K30" s="32" t="s">
        <v>24</v>
      </c>
    </row>
    <row r="31" spans="1:14" ht="15.75" hidden="1" thickTop="1" x14ac:dyDescent="0.25">
      <c r="A31" t="s">
        <v>454</v>
      </c>
      <c r="B31" s="46">
        <v>0.32291666666666669</v>
      </c>
      <c r="C31" s="46">
        <v>0.33333333333333331</v>
      </c>
      <c r="D31" s="30">
        <f>C31-B31</f>
        <v>1.041666666666663E-2</v>
      </c>
      <c r="E31" s="30"/>
      <c r="F31" s="30"/>
    </row>
    <row r="32" spans="1:14" hidden="1" x14ac:dyDescent="0.25">
      <c r="A32" t="s">
        <v>463</v>
      </c>
      <c r="B32" s="46">
        <v>0.33333333333333331</v>
      </c>
      <c r="C32" s="46">
        <v>0.41666666666666669</v>
      </c>
      <c r="D32" s="30">
        <f t="shared" ref="D32:D42" si="4">C32-B32</f>
        <v>8.333333333333337E-2</v>
      </c>
      <c r="E32" s="30"/>
      <c r="F32" s="30"/>
      <c r="H32" s="28">
        <v>0.2</v>
      </c>
      <c r="I32" s="28">
        <v>0.2</v>
      </c>
      <c r="M32" s="1">
        <v>119</v>
      </c>
    </row>
    <row r="33" spans="1:14" hidden="1" x14ac:dyDescent="0.25">
      <c r="A33" s="33" t="s">
        <v>455</v>
      </c>
      <c r="B33" s="48">
        <v>0.41666666666666669</v>
      </c>
      <c r="C33" s="48">
        <v>0.42708333333333331</v>
      </c>
      <c r="D33" s="34">
        <f t="shared" si="4"/>
        <v>1.041666666666663E-2</v>
      </c>
      <c r="E33" s="34"/>
      <c r="F33" s="34"/>
      <c r="G33" s="35"/>
      <c r="H33" s="35"/>
      <c r="I33" s="35"/>
      <c r="J33" s="35"/>
      <c r="K33" s="35"/>
    </row>
    <row r="34" spans="1:14" hidden="1" x14ac:dyDescent="0.25">
      <c r="A34" t="s">
        <v>464</v>
      </c>
      <c r="B34" s="46">
        <v>0.42708333333333331</v>
      </c>
      <c r="C34" s="46">
        <v>0.44791666666666669</v>
      </c>
      <c r="D34" s="30">
        <f t="shared" si="4"/>
        <v>2.083333333333337E-2</v>
      </c>
      <c r="E34" s="30"/>
      <c r="F34" s="30"/>
      <c r="H34" s="28">
        <v>0.05</v>
      </c>
      <c r="I34" s="28">
        <v>0.05</v>
      </c>
    </row>
    <row r="35" spans="1:14" hidden="1" x14ac:dyDescent="0.25">
      <c r="A35" t="s">
        <v>465</v>
      </c>
      <c r="B35" s="46">
        <v>0.44791666666666669</v>
      </c>
      <c r="C35" s="46">
        <v>0.46875</v>
      </c>
      <c r="D35" s="30">
        <f t="shared" si="4"/>
        <v>2.0833333333333315E-2</v>
      </c>
      <c r="E35" s="30"/>
      <c r="F35" s="30"/>
      <c r="G35" s="28">
        <v>0.05</v>
      </c>
      <c r="H35" s="28">
        <v>0.05</v>
      </c>
      <c r="I35" s="28">
        <v>0.05</v>
      </c>
      <c r="M35" s="1">
        <v>59</v>
      </c>
    </row>
    <row r="36" spans="1:14" hidden="1" x14ac:dyDescent="0.25">
      <c r="A36" s="33" t="s">
        <v>457</v>
      </c>
      <c r="B36" s="48">
        <v>0.46875</v>
      </c>
      <c r="C36" s="48">
        <v>0.5</v>
      </c>
      <c r="D36" s="34">
        <f t="shared" si="4"/>
        <v>3.125E-2</v>
      </c>
      <c r="E36" s="34"/>
      <c r="F36" s="34"/>
      <c r="G36" s="35"/>
      <c r="H36" s="35"/>
      <c r="I36" s="35"/>
      <c r="J36" s="35"/>
      <c r="K36" s="35"/>
    </row>
    <row r="37" spans="1:14" hidden="1" x14ac:dyDescent="0.25">
      <c r="A37" t="s">
        <v>466</v>
      </c>
      <c r="B37" s="46">
        <v>0.5</v>
      </c>
      <c r="C37" s="46">
        <v>0.54166666666666663</v>
      </c>
      <c r="D37" s="30">
        <f t="shared" si="4"/>
        <v>4.166666666666663E-2</v>
      </c>
      <c r="E37" s="30"/>
      <c r="F37" s="30"/>
      <c r="G37" s="28">
        <v>0.1</v>
      </c>
      <c r="H37" s="28">
        <v>0.1</v>
      </c>
      <c r="I37" s="28">
        <v>0.1</v>
      </c>
      <c r="M37" s="1">
        <v>71</v>
      </c>
    </row>
    <row r="38" spans="1:14" hidden="1" x14ac:dyDescent="0.25">
      <c r="A38" t="s">
        <v>467</v>
      </c>
      <c r="B38" s="46">
        <v>0.54166666666666663</v>
      </c>
      <c r="C38" s="46">
        <v>0.58333333333333337</v>
      </c>
      <c r="D38" s="30">
        <f t="shared" si="4"/>
        <v>4.1666666666666741E-2</v>
      </c>
      <c r="E38" s="30"/>
      <c r="F38" s="30"/>
      <c r="G38" s="28">
        <v>0.1</v>
      </c>
      <c r="H38" s="28">
        <v>0.1</v>
      </c>
      <c r="J38" s="28">
        <v>0.1</v>
      </c>
      <c r="K38" s="28">
        <v>0.1</v>
      </c>
    </row>
    <row r="39" spans="1:14" hidden="1" x14ac:dyDescent="0.25">
      <c r="A39" s="33" t="s">
        <v>455</v>
      </c>
      <c r="B39" s="48">
        <v>0.58333333333333337</v>
      </c>
      <c r="C39" s="48">
        <v>0.59375</v>
      </c>
      <c r="D39" s="34">
        <f t="shared" si="4"/>
        <v>1.041666666666663E-2</v>
      </c>
      <c r="E39" s="34"/>
      <c r="F39" s="34"/>
      <c r="G39" s="35"/>
      <c r="H39" s="35"/>
      <c r="I39" s="35"/>
      <c r="J39" s="35"/>
      <c r="K39" s="35"/>
    </row>
    <row r="40" spans="1:14" hidden="1" x14ac:dyDescent="0.25">
      <c r="A40" t="s">
        <v>1</v>
      </c>
      <c r="B40" s="46">
        <v>0.59375</v>
      </c>
      <c r="C40" s="46">
        <v>0.63541666666666663</v>
      </c>
      <c r="D40" s="30">
        <f t="shared" si="4"/>
        <v>4.166666666666663E-2</v>
      </c>
      <c r="E40" s="30"/>
      <c r="F40" s="30"/>
      <c r="G40" s="28">
        <v>0.1</v>
      </c>
      <c r="H40" s="28">
        <v>0.1</v>
      </c>
      <c r="I40" s="28">
        <v>0.1</v>
      </c>
      <c r="J40" s="28">
        <v>0.1</v>
      </c>
      <c r="M40" s="1">
        <v>72</v>
      </c>
    </row>
    <row r="41" spans="1:14" hidden="1" x14ac:dyDescent="0.25">
      <c r="A41" t="s">
        <v>1057</v>
      </c>
      <c r="B41" s="46">
        <f>C40</f>
        <v>0.63541666666666663</v>
      </c>
      <c r="C41" s="46">
        <v>0.65625</v>
      </c>
      <c r="D41" s="30">
        <f>C41-B41</f>
        <v>2.083333333333337E-2</v>
      </c>
      <c r="E41" s="30"/>
      <c r="F41" s="30"/>
      <c r="G41" s="28">
        <v>0.05</v>
      </c>
      <c r="H41" s="28">
        <v>0.05</v>
      </c>
      <c r="I41" s="28">
        <v>0.05</v>
      </c>
      <c r="J41" s="28">
        <v>0.05</v>
      </c>
      <c r="M41" s="1">
        <v>36</v>
      </c>
    </row>
    <row r="42" spans="1:14" ht="15.75" hidden="1" thickBot="1" x14ac:dyDescent="0.3">
      <c r="A42" s="36" t="s">
        <v>1070</v>
      </c>
      <c r="B42" s="49">
        <f>C41</f>
        <v>0.65625</v>
      </c>
      <c r="C42" s="49">
        <v>0.70833333333333337</v>
      </c>
      <c r="D42" s="37">
        <f t="shared" si="4"/>
        <v>5.208333333333337E-2</v>
      </c>
      <c r="E42" s="37"/>
      <c r="F42" s="37"/>
      <c r="G42" s="38">
        <v>0.1</v>
      </c>
      <c r="H42" s="38">
        <v>0.1</v>
      </c>
      <c r="I42" s="38">
        <v>0.1</v>
      </c>
      <c r="J42" s="38">
        <v>0.1</v>
      </c>
      <c r="K42" s="38"/>
      <c r="M42" s="1">
        <v>60</v>
      </c>
    </row>
    <row r="43" spans="1:14" ht="15.75" hidden="1" thickTop="1" x14ac:dyDescent="0.25">
      <c r="A43" t="s">
        <v>474</v>
      </c>
      <c r="D43" s="30">
        <f>SUM(D31:D42)-D31-D33-D36-D39</f>
        <v>0.3229166666666668</v>
      </c>
      <c r="E43" s="30"/>
      <c r="F43" s="30"/>
      <c r="G43" s="28">
        <f>SUM(G31:G42)</f>
        <v>0.5</v>
      </c>
      <c r="H43" s="28">
        <f t="shared" ref="H43:K43" si="5">SUM(H31:H42)</f>
        <v>0.75</v>
      </c>
      <c r="I43" s="28">
        <v>0.7</v>
      </c>
      <c r="J43" s="28">
        <f t="shared" si="5"/>
        <v>0.35</v>
      </c>
      <c r="K43" s="28">
        <f t="shared" si="5"/>
        <v>0.1</v>
      </c>
      <c r="M43" s="2">
        <f>SUM(M32:M42)</f>
        <v>417</v>
      </c>
      <c r="N43" s="6" t="s">
        <v>287</v>
      </c>
    </row>
    <row r="44" spans="1:14" hidden="1" x14ac:dyDescent="0.25"/>
    <row r="45" spans="1:14" ht="18.75" hidden="1" x14ac:dyDescent="0.3">
      <c r="A45" s="9" t="s">
        <v>468</v>
      </c>
    </row>
    <row r="46" spans="1:14" ht="15.75" hidden="1" thickBot="1" x14ac:dyDescent="0.3">
      <c r="A46" s="31" t="s">
        <v>249</v>
      </c>
      <c r="B46" s="47" t="s">
        <v>452</v>
      </c>
      <c r="C46" s="47" t="s">
        <v>453</v>
      </c>
      <c r="D46" s="32" t="s">
        <v>291</v>
      </c>
      <c r="E46" s="32"/>
      <c r="F46" s="32"/>
      <c r="G46" s="32" t="s">
        <v>22</v>
      </c>
      <c r="H46" s="32" t="s">
        <v>23</v>
      </c>
      <c r="I46" s="32" t="s">
        <v>26</v>
      </c>
      <c r="J46" s="32" t="s">
        <v>25</v>
      </c>
      <c r="K46" s="32" t="s">
        <v>24</v>
      </c>
    </row>
    <row r="47" spans="1:14" ht="15.75" hidden="1" thickTop="1" x14ac:dyDescent="0.25">
      <c r="A47" t="s">
        <v>469</v>
      </c>
      <c r="B47" s="46">
        <v>0.33333333333333331</v>
      </c>
      <c r="C47" s="46">
        <v>0.70833333333333337</v>
      </c>
      <c r="D47" s="30">
        <f>D12</f>
        <v>0.31249999999999989</v>
      </c>
      <c r="E47" s="30"/>
      <c r="F47" s="30"/>
      <c r="G47" s="39">
        <f t="shared" ref="G47:K47" si="6">G12</f>
        <v>0.64999999999999991</v>
      </c>
      <c r="H47" s="39">
        <f t="shared" si="6"/>
        <v>0.75</v>
      </c>
      <c r="I47" s="39">
        <f t="shared" si="6"/>
        <v>0.75</v>
      </c>
      <c r="J47" s="39">
        <f t="shared" si="6"/>
        <v>0.55000000000000004</v>
      </c>
      <c r="K47" s="39">
        <f t="shared" si="6"/>
        <v>0.35</v>
      </c>
    </row>
    <row r="48" spans="1:14" hidden="1" x14ac:dyDescent="0.25">
      <c r="A48" t="s">
        <v>470</v>
      </c>
      <c r="B48" s="46">
        <v>0.33333333333333331</v>
      </c>
      <c r="C48" s="46">
        <v>0.70833333333333337</v>
      </c>
      <c r="D48" s="30">
        <f>D26</f>
        <v>0.3229166666666668</v>
      </c>
      <c r="E48" s="30"/>
      <c r="F48" s="30"/>
      <c r="G48" s="39">
        <f t="shared" ref="G48:K48" si="7">G26</f>
        <v>0.35</v>
      </c>
      <c r="H48" s="39">
        <f t="shared" si="7"/>
        <v>0.75</v>
      </c>
      <c r="I48" s="39">
        <f t="shared" si="7"/>
        <v>0.75</v>
      </c>
      <c r="J48" s="39">
        <f t="shared" si="7"/>
        <v>0.2</v>
      </c>
      <c r="K48" s="39">
        <f t="shared" si="7"/>
        <v>0.2</v>
      </c>
    </row>
    <row r="49" spans="1:13" ht="15.75" hidden="1" thickBot="1" x14ac:dyDescent="0.3">
      <c r="A49" s="40" t="s">
        <v>471</v>
      </c>
      <c r="B49" s="51">
        <v>0.33333333333333331</v>
      </c>
      <c r="C49" s="51">
        <v>0.70833333333333337</v>
      </c>
      <c r="D49" s="41">
        <f>D43</f>
        <v>0.3229166666666668</v>
      </c>
      <c r="E49" s="41"/>
      <c r="F49" s="41"/>
      <c r="G49" s="42">
        <f t="shared" ref="G49:K49" si="8">G43</f>
        <v>0.5</v>
      </c>
      <c r="H49" s="42">
        <f t="shared" si="8"/>
        <v>0.75</v>
      </c>
      <c r="I49" s="42">
        <f t="shared" si="8"/>
        <v>0.7</v>
      </c>
      <c r="J49" s="42">
        <f t="shared" si="8"/>
        <v>0.35</v>
      </c>
      <c r="K49" s="42">
        <f t="shared" si="8"/>
        <v>0.1</v>
      </c>
    </row>
    <row r="50" spans="1:13" hidden="1" x14ac:dyDescent="0.25">
      <c r="G50" s="39">
        <f>SUM(G47:G49)</f>
        <v>1.5</v>
      </c>
      <c r="H50" s="39">
        <f t="shared" ref="H50:K50" si="9">SUM(H47:H49)</f>
        <v>2.25</v>
      </c>
      <c r="I50" s="39">
        <f t="shared" si="9"/>
        <v>2.2000000000000002</v>
      </c>
      <c r="J50" s="39">
        <f t="shared" si="9"/>
        <v>1.1000000000000001</v>
      </c>
      <c r="K50" s="39">
        <f t="shared" si="9"/>
        <v>0.65</v>
      </c>
    </row>
    <row r="51" spans="1:13" hidden="1" x14ac:dyDescent="0.25"/>
    <row r="52" spans="1:13" hidden="1" x14ac:dyDescent="0.25">
      <c r="A52" t="s">
        <v>475</v>
      </c>
    </row>
    <row r="53" spans="1:13" hidden="1" x14ac:dyDescent="0.25">
      <c r="A53" t="s">
        <v>476</v>
      </c>
    </row>
    <row r="54" spans="1:13" hidden="1" x14ac:dyDescent="0.25"/>
    <row r="55" spans="1:13" hidden="1" x14ac:dyDescent="0.25"/>
    <row r="56" spans="1:13" ht="15.75" thickBot="1" x14ac:dyDescent="0.3">
      <c r="A56" s="31" t="s">
        <v>1290</v>
      </c>
      <c r="B56" s="47" t="s">
        <v>452</v>
      </c>
      <c r="C56" s="47" t="s">
        <v>453</v>
      </c>
      <c r="D56" s="32" t="s">
        <v>291</v>
      </c>
      <c r="E56" s="32" t="s">
        <v>1118</v>
      </c>
      <c r="F56" s="32" t="s">
        <v>1284</v>
      </c>
      <c r="G56" s="32" t="s">
        <v>22</v>
      </c>
      <c r="H56" s="32" t="s">
        <v>23</v>
      </c>
      <c r="I56" s="32" t="s">
        <v>26</v>
      </c>
      <c r="J56" s="32" t="s">
        <v>25</v>
      </c>
      <c r="K56" s="32" t="s">
        <v>24</v>
      </c>
    </row>
    <row r="57" spans="1:13" ht="15.75" thickTop="1" x14ac:dyDescent="0.25">
      <c r="A57" t="s">
        <v>0</v>
      </c>
      <c r="B57" s="46">
        <v>0.33333333333333331</v>
      </c>
      <c r="C57" s="46">
        <f>B57+D57</f>
        <v>0.39583333333333331</v>
      </c>
      <c r="D57" s="30">
        <v>6.25E-2</v>
      </c>
      <c r="E57" s="28">
        <v>133</v>
      </c>
      <c r="F57" s="28">
        <v>0.15</v>
      </c>
      <c r="G57" s="1">
        <v>0.15</v>
      </c>
      <c r="H57" s="1">
        <v>0.15</v>
      </c>
      <c r="I57" s="1">
        <v>0.15</v>
      </c>
      <c r="J57" s="1">
        <v>0.15</v>
      </c>
      <c r="K57" s="1">
        <v>0.15</v>
      </c>
      <c r="M57"/>
    </row>
    <row r="58" spans="1:13" x14ac:dyDescent="0.25">
      <c r="A58" t="s">
        <v>1</v>
      </c>
      <c r="B58" s="46">
        <f>C57</f>
        <v>0.39583333333333331</v>
      </c>
      <c r="C58" s="46">
        <f t="shared" ref="C58:C62" si="10">B58+D58</f>
        <v>0.45833333333333331</v>
      </c>
      <c r="D58" s="30">
        <v>6.25E-2</v>
      </c>
      <c r="E58" s="28">
        <v>89</v>
      </c>
      <c r="F58" s="28">
        <v>0.15</v>
      </c>
      <c r="G58" s="1">
        <v>0</v>
      </c>
      <c r="H58" s="1">
        <v>0.15</v>
      </c>
      <c r="I58" s="1">
        <v>0.15</v>
      </c>
      <c r="J58" s="1">
        <v>0</v>
      </c>
      <c r="K58" s="1">
        <v>0.15</v>
      </c>
      <c r="M58"/>
    </row>
    <row r="59" spans="1:13" x14ac:dyDescent="0.25">
      <c r="A59" s="33" t="s">
        <v>457</v>
      </c>
      <c r="B59" s="48">
        <f t="shared" ref="B59:B62" si="11">C58</f>
        <v>0.45833333333333331</v>
      </c>
      <c r="C59" s="48">
        <f t="shared" si="10"/>
        <v>0.48958333333333331</v>
      </c>
      <c r="D59" s="34">
        <v>3.125E-2</v>
      </c>
      <c r="E59" s="35"/>
      <c r="F59" s="35"/>
      <c r="G59" s="35"/>
      <c r="H59" s="35"/>
      <c r="I59" s="35"/>
      <c r="J59" s="35"/>
      <c r="K59" s="35"/>
      <c r="M59"/>
    </row>
    <row r="60" spans="1:13" x14ac:dyDescent="0.25">
      <c r="A60" t="s">
        <v>456</v>
      </c>
      <c r="B60" s="46">
        <f t="shared" si="11"/>
        <v>0.48958333333333331</v>
      </c>
      <c r="C60" s="46">
        <f t="shared" si="10"/>
        <v>0.53125</v>
      </c>
      <c r="D60" s="30">
        <v>4.1666666666666664E-2</v>
      </c>
      <c r="F60" s="28">
        <v>0.1</v>
      </c>
      <c r="G60" s="1">
        <v>0.1</v>
      </c>
      <c r="H60" s="1">
        <v>0.1</v>
      </c>
      <c r="I60" s="1">
        <v>0.1</v>
      </c>
      <c r="J60" s="1">
        <v>0.1</v>
      </c>
      <c r="K60" s="1">
        <v>0.1</v>
      </c>
      <c r="M60"/>
    </row>
    <row r="61" spans="1:13" x14ac:dyDescent="0.25">
      <c r="A61" t="s">
        <v>1109</v>
      </c>
      <c r="B61" s="46">
        <f t="shared" si="11"/>
        <v>0.53125</v>
      </c>
      <c r="C61" s="46">
        <f t="shared" si="10"/>
        <v>0.63541666666666663</v>
      </c>
      <c r="D61" s="30">
        <v>0.10416666666666667</v>
      </c>
      <c r="E61" s="28">
        <v>162</v>
      </c>
      <c r="F61" s="28">
        <v>0.25</v>
      </c>
      <c r="G61" s="1">
        <v>0</v>
      </c>
      <c r="H61" s="1">
        <v>0.25</v>
      </c>
      <c r="I61" s="1">
        <v>0.25</v>
      </c>
      <c r="J61" s="1">
        <v>0</v>
      </c>
      <c r="K61" s="1">
        <v>0</v>
      </c>
      <c r="M61"/>
    </row>
    <row r="62" spans="1:13" x14ac:dyDescent="0.25">
      <c r="A62" t="s">
        <v>1057</v>
      </c>
      <c r="B62" s="46">
        <f t="shared" si="11"/>
        <v>0.63541666666666663</v>
      </c>
      <c r="C62" s="46">
        <f t="shared" si="10"/>
        <v>0.65625</v>
      </c>
      <c r="D62" s="30">
        <v>2.0833333333333332E-2</v>
      </c>
      <c r="E62" s="28">
        <v>30</v>
      </c>
      <c r="F62" s="28">
        <v>0.05</v>
      </c>
      <c r="G62" s="1">
        <v>0.05</v>
      </c>
      <c r="H62" s="1">
        <v>0.05</v>
      </c>
      <c r="I62" s="1">
        <v>0.05</v>
      </c>
      <c r="J62" s="1">
        <v>0.05</v>
      </c>
      <c r="K62" s="1">
        <v>0.05</v>
      </c>
      <c r="M62"/>
    </row>
    <row r="63" spans="1:13" x14ac:dyDescent="0.25">
      <c r="A63" s="55" t="s">
        <v>1285</v>
      </c>
      <c r="B63" s="56">
        <f t="shared" ref="B63" si="12">C62</f>
        <v>0.65625</v>
      </c>
      <c r="C63" s="56">
        <f t="shared" ref="C63" si="13">B63+D63</f>
        <v>0.67708333333333337</v>
      </c>
      <c r="D63" s="57">
        <v>2.0833333333333332E-2</v>
      </c>
      <c r="E63" s="58"/>
      <c r="F63" s="58">
        <v>0.05</v>
      </c>
      <c r="G63" s="58">
        <v>0</v>
      </c>
      <c r="H63" s="58">
        <v>0.05</v>
      </c>
      <c r="I63" s="13">
        <v>0.05</v>
      </c>
      <c r="J63" s="13">
        <v>0</v>
      </c>
      <c r="K63" s="13">
        <v>0</v>
      </c>
      <c r="M63"/>
    </row>
    <row r="64" spans="1:13" x14ac:dyDescent="0.25">
      <c r="A64" t="s">
        <v>1286</v>
      </c>
      <c r="D64" s="30"/>
      <c r="F64" s="28">
        <f>SUM(F57:F63)</f>
        <v>0.75000000000000011</v>
      </c>
      <c r="G64" s="28">
        <f t="shared" ref="G64:K64" si="14">SUM(G57:G63)</f>
        <v>0.3</v>
      </c>
      <c r="H64" s="28">
        <f t="shared" si="14"/>
        <v>0.75000000000000011</v>
      </c>
      <c r="I64" s="28">
        <f t="shared" si="14"/>
        <v>0.75000000000000011</v>
      </c>
      <c r="J64" s="28">
        <f t="shared" si="14"/>
        <v>0.3</v>
      </c>
      <c r="K64" s="28">
        <f t="shared" si="14"/>
        <v>0.45</v>
      </c>
      <c r="M64"/>
    </row>
    <row r="65" spans="1:20" x14ac:dyDescent="0.25">
      <c r="D65" s="30"/>
      <c r="I65" s="1"/>
      <c r="J65" s="1"/>
      <c r="K65" s="1"/>
      <c r="M65"/>
    </row>
    <row r="66" spans="1:20" ht="15.75" thickBot="1" x14ac:dyDescent="0.3">
      <c r="A66" s="31" t="s">
        <v>1291</v>
      </c>
      <c r="B66" s="47" t="s">
        <v>452</v>
      </c>
      <c r="C66" s="47" t="s">
        <v>453</v>
      </c>
      <c r="D66" s="32" t="s">
        <v>291</v>
      </c>
      <c r="E66" s="32" t="s">
        <v>1118</v>
      </c>
      <c r="F66" s="32" t="s">
        <v>1284</v>
      </c>
      <c r="G66" s="32" t="s">
        <v>22</v>
      </c>
      <c r="H66" s="32" t="s">
        <v>23</v>
      </c>
      <c r="I66" s="32" t="s">
        <v>26</v>
      </c>
      <c r="J66" s="32" t="s">
        <v>25</v>
      </c>
      <c r="K66" s="32" t="s">
        <v>24</v>
      </c>
      <c r="M66" s="28"/>
      <c r="N66" s="28"/>
      <c r="O66" s="28"/>
    </row>
    <row r="67" spans="1:20" ht="15.75" thickTop="1" x14ac:dyDescent="0.25">
      <c r="A67" t="s">
        <v>1068</v>
      </c>
      <c r="B67" s="46">
        <v>0.33333333333333331</v>
      </c>
      <c r="C67" s="46">
        <f>B67+D67</f>
        <v>0.39583333333333331</v>
      </c>
      <c r="D67" s="30">
        <v>6.25E-2</v>
      </c>
      <c r="E67" s="28">
        <v>75</v>
      </c>
      <c r="F67" s="28">
        <v>0.15</v>
      </c>
      <c r="G67" s="30">
        <v>0</v>
      </c>
      <c r="H67" s="28">
        <v>0.15</v>
      </c>
      <c r="I67" s="28">
        <v>0.15</v>
      </c>
      <c r="J67" s="1">
        <v>0</v>
      </c>
      <c r="K67" s="1">
        <v>0</v>
      </c>
      <c r="M67"/>
    </row>
    <row r="68" spans="1:20" x14ac:dyDescent="0.25">
      <c r="A68" t="s">
        <v>1069</v>
      </c>
      <c r="B68" s="46">
        <f>C67</f>
        <v>0.39583333333333331</v>
      </c>
      <c r="C68" s="46">
        <f t="shared" ref="C68:C73" si="15">B68+D68</f>
        <v>0.45833333333333331</v>
      </c>
      <c r="D68" s="30">
        <v>6.25E-2</v>
      </c>
      <c r="E68" s="28">
        <v>78</v>
      </c>
      <c r="F68" s="28">
        <v>0.15</v>
      </c>
      <c r="G68" s="28">
        <v>0.15</v>
      </c>
      <c r="H68" s="28">
        <v>0.15</v>
      </c>
      <c r="I68" s="28">
        <v>0.15</v>
      </c>
      <c r="J68" s="1">
        <v>0</v>
      </c>
      <c r="K68" s="1">
        <v>0</v>
      </c>
      <c r="M68"/>
    </row>
    <row r="69" spans="1:20" x14ac:dyDescent="0.25">
      <c r="A69" s="33" t="s">
        <v>457</v>
      </c>
      <c r="B69" s="48">
        <f t="shared" ref="B69:B73" si="16">C68</f>
        <v>0.45833333333333331</v>
      </c>
      <c r="C69" s="48">
        <f t="shared" si="15"/>
        <v>0.48958333333333331</v>
      </c>
      <c r="D69" s="34">
        <v>3.125E-2</v>
      </c>
      <c r="E69" s="35"/>
      <c r="F69" s="35">
        <v>0.2</v>
      </c>
      <c r="G69" s="35">
        <v>0.2</v>
      </c>
      <c r="H69" s="35">
        <v>0.2</v>
      </c>
      <c r="I69" s="35">
        <v>0.2</v>
      </c>
      <c r="J69" s="59">
        <v>0.2</v>
      </c>
      <c r="K69" s="59">
        <v>0</v>
      </c>
      <c r="M69"/>
    </row>
    <row r="70" spans="1:20" x14ac:dyDescent="0.25">
      <c r="A70" t="s">
        <v>1110</v>
      </c>
      <c r="B70" s="46">
        <f t="shared" si="16"/>
        <v>0.48958333333333331</v>
      </c>
      <c r="C70" s="46">
        <f t="shared" si="15"/>
        <v>0.57291666666666663</v>
      </c>
      <c r="D70" s="30">
        <v>8.3333333333333329E-2</v>
      </c>
      <c r="E70" s="28">
        <v>96</v>
      </c>
      <c r="M70"/>
    </row>
    <row r="71" spans="1:20" x14ac:dyDescent="0.25">
      <c r="A71" t="s">
        <v>1120</v>
      </c>
      <c r="B71" s="46">
        <f t="shared" si="16"/>
        <v>0.57291666666666663</v>
      </c>
      <c r="C71" s="46">
        <f t="shared" si="15"/>
        <v>0.61458333333333326</v>
      </c>
      <c r="D71" s="30">
        <v>4.1666666666666664E-2</v>
      </c>
      <c r="E71" s="28">
        <v>46</v>
      </c>
      <c r="F71" s="28">
        <v>0.1</v>
      </c>
      <c r="G71" s="28">
        <v>0</v>
      </c>
      <c r="H71" s="28">
        <v>0.1</v>
      </c>
      <c r="I71" s="28">
        <v>0.1</v>
      </c>
      <c r="J71" s="1">
        <v>0</v>
      </c>
      <c r="K71" s="1">
        <v>0</v>
      </c>
      <c r="M71"/>
    </row>
    <row r="72" spans="1:20" x14ac:dyDescent="0.25">
      <c r="A72" t="s">
        <v>1111</v>
      </c>
      <c r="B72" s="46">
        <f t="shared" si="16"/>
        <v>0.61458333333333326</v>
      </c>
      <c r="C72" s="46">
        <f t="shared" si="15"/>
        <v>0.63541666666666663</v>
      </c>
      <c r="D72" s="30">
        <v>2.0833333333333332E-2</v>
      </c>
      <c r="E72" s="28">
        <v>21</v>
      </c>
      <c r="F72" s="28">
        <v>0.05</v>
      </c>
      <c r="G72" s="28">
        <v>0</v>
      </c>
      <c r="H72" s="28">
        <v>0.05</v>
      </c>
      <c r="I72" s="28">
        <v>0.05</v>
      </c>
      <c r="J72" s="1">
        <v>0</v>
      </c>
      <c r="K72" s="1">
        <v>0</v>
      </c>
      <c r="M72"/>
    </row>
    <row r="73" spans="1:20" x14ac:dyDescent="0.25">
      <c r="A73" t="s">
        <v>1287</v>
      </c>
      <c r="B73" s="46">
        <f t="shared" si="16"/>
        <v>0.63541666666666663</v>
      </c>
      <c r="C73" s="46">
        <f t="shared" si="15"/>
        <v>0.65625</v>
      </c>
      <c r="D73" s="30">
        <v>2.0833333333333332E-2</v>
      </c>
      <c r="E73" s="28">
        <f>30+46+39</f>
        <v>115</v>
      </c>
      <c r="F73" s="28">
        <v>0.05</v>
      </c>
      <c r="G73" s="28">
        <v>0</v>
      </c>
      <c r="H73" s="28">
        <v>0.05</v>
      </c>
      <c r="I73" s="28">
        <v>0.05</v>
      </c>
      <c r="J73" s="1">
        <v>0</v>
      </c>
      <c r="K73" s="1">
        <v>0</v>
      </c>
      <c r="M73" s="28">
        <f>SUM(E67:E73)</f>
        <v>431</v>
      </c>
      <c r="N73" s="28">
        <f>(M73/4)/2</f>
        <v>53.875</v>
      </c>
      <c r="O73" s="28" t="s">
        <v>1125</v>
      </c>
    </row>
    <row r="74" spans="1:20" x14ac:dyDescent="0.25">
      <c r="A74" s="55" t="s">
        <v>1288</v>
      </c>
      <c r="B74" s="56">
        <f t="shared" ref="B74" si="17">C73</f>
        <v>0.65625</v>
      </c>
      <c r="C74" s="56">
        <f t="shared" ref="C74" si="18">B74+D74</f>
        <v>0.67708333333333337</v>
      </c>
      <c r="D74" s="57">
        <v>2.0833333333333332E-2</v>
      </c>
      <c r="E74" s="58">
        <v>0.05</v>
      </c>
      <c r="F74" s="13">
        <v>0.05</v>
      </c>
      <c r="G74" s="58">
        <v>0.05</v>
      </c>
      <c r="H74" s="58">
        <v>0.05</v>
      </c>
      <c r="I74" s="58">
        <v>0.05</v>
      </c>
      <c r="J74" s="13">
        <v>0</v>
      </c>
      <c r="K74" s="13">
        <v>0</v>
      </c>
      <c r="M74"/>
    </row>
    <row r="75" spans="1:20" x14ac:dyDescent="0.25">
      <c r="A75" t="s">
        <v>1289</v>
      </c>
      <c r="D75" s="30"/>
      <c r="F75" s="28">
        <f>SUM(F67:F74)</f>
        <v>0.75000000000000011</v>
      </c>
      <c r="G75" s="28">
        <f t="shared" ref="G75:K75" si="19">SUM(G67:G74)</f>
        <v>0.39999999999999997</v>
      </c>
      <c r="H75" s="28">
        <f t="shared" si="19"/>
        <v>0.75000000000000011</v>
      </c>
      <c r="I75" s="28">
        <f t="shared" si="19"/>
        <v>0.75000000000000011</v>
      </c>
      <c r="J75" s="28">
        <f t="shared" si="19"/>
        <v>0.2</v>
      </c>
      <c r="K75" s="28">
        <f t="shared" si="19"/>
        <v>0</v>
      </c>
      <c r="M75" s="28"/>
      <c r="N75" s="28"/>
      <c r="O75" s="28"/>
    </row>
    <row r="76" spans="1:20" x14ac:dyDescent="0.25">
      <c r="D76" s="30"/>
      <c r="M76" s="28"/>
      <c r="N76" s="28"/>
      <c r="O76" s="28"/>
    </row>
    <row r="77" spans="1:20" ht="15.75" thickBot="1" x14ac:dyDescent="0.3">
      <c r="A77" s="31" t="s">
        <v>1292</v>
      </c>
      <c r="B77" s="47" t="s">
        <v>452</v>
      </c>
      <c r="C77" s="47" t="s">
        <v>453</v>
      </c>
      <c r="D77" s="32" t="s">
        <v>291</v>
      </c>
      <c r="E77" s="32" t="s">
        <v>1118</v>
      </c>
      <c r="F77" s="32" t="s">
        <v>1284</v>
      </c>
      <c r="G77" s="32" t="s">
        <v>22</v>
      </c>
      <c r="H77" s="32" t="s">
        <v>23</v>
      </c>
      <c r="I77" s="32" t="s">
        <v>26</v>
      </c>
      <c r="J77" s="32" t="s">
        <v>25</v>
      </c>
      <c r="K77" s="32" t="s">
        <v>24</v>
      </c>
      <c r="M77" s="28"/>
      <c r="N77" s="28"/>
      <c r="O77" s="28"/>
    </row>
    <row r="78" spans="1:20" ht="15.75" thickTop="1" x14ac:dyDescent="0.25">
      <c r="A78" t="s">
        <v>308</v>
      </c>
      <c r="B78" s="46">
        <v>0.33333333333333331</v>
      </c>
      <c r="C78" s="46">
        <f>B78+D78</f>
        <v>0.375</v>
      </c>
      <c r="D78" s="30">
        <v>4.1666666666666664E-2</v>
      </c>
      <c r="E78" s="28">
        <v>81</v>
      </c>
      <c r="F78" s="28">
        <v>0.1</v>
      </c>
      <c r="G78" s="28">
        <v>0</v>
      </c>
      <c r="H78" s="28">
        <v>0.1</v>
      </c>
      <c r="I78" s="28">
        <v>0.1</v>
      </c>
      <c r="J78" s="1">
        <v>0</v>
      </c>
      <c r="K78" s="1">
        <v>0</v>
      </c>
      <c r="M78"/>
      <c r="R78" s="46">
        <v>0.33333333333333331</v>
      </c>
      <c r="S78" s="46">
        <v>0.375</v>
      </c>
      <c r="T78" t="s">
        <v>1391</v>
      </c>
    </row>
    <row r="79" spans="1:20" x14ac:dyDescent="0.25">
      <c r="A79" t="s">
        <v>1121</v>
      </c>
      <c r="B79" s="46">
        <f>C78</f>
        <v>0.375</v>
      </c>
      <c r="C79" s="46">
        <f t="shared" ref="C79:C84" si="20">B79+D79</f>
        <v>0.45833333333333331</v>
      </c>
      <c r="D79" s="30">
        <v>8.3333333333333329E-2</v>
      </c>
      <c r="E79" s="28">
        <v>125</v>
      </c>
      <c r="F79" s="28">
        <v>0.2</v>
      </c>
      <c r="G79" s="28">
        <v>0</v>
      </c>
      <c r="H79" s="28">
        <v>0.2</v>
      </c>
      <c r="I79" s="28">
        <v>0.2</v>
      </c>
      <c r="J79" s="1">
        <v>0</v>
      </c>
      <c r="K79" s="1">
        <v>0</v>
      </c>
      <c r="M79"/>
      <c r="R79" s="46">
        <v>0.375</v>
      </c>
      <c r="S79" s="46">
        <v>0.45833333333333331</v>
      </c>
      <c r="T79" t="s">
        <v>1392</v>
      </c>
    </row>
    <row r="80" spans="1:20" x14ac:dyDescent="0.25">
      <c r="A80" t="s">
        <v>1119</v>
      </c>
      <c r="B80" s="46">
        <f t="shared" ref="B80:B84" si="21">C79</f>
        <v>0.45833333333333331</v>
      </c>
      <c r="C80" s="46">
        <f t="shared" si="20"/>
        <v>0.5</v>
      </c>
      <c r="D80" s="30">
        <v>4.1666666666666664E-2</v>
      </c>
      <c r="E80" s="28">
        <v>74</v>
      </c>
      <c r="F80" s="28">
        <v>0.1</v>
      </c>
      <c r="G80" s="28">
        <v>0</v>
      </c>
      <c r="H80" s="28">
        <v>0.1</v>
      </c>
      <c r="I80" s="28">
        <v>0.1</v>
      </c>
      <c r="J80" s="1">
        <v>0</v>
      </c>
      <c r="K80" s="1">
        <v>0</v>
      </c>
      <c r="M80"/>
      <c r="R80" s="46">
        <v>0.45833333333333331</v>
      </c>
      <c r="S80" s="46">
        <v>0.5</v>
      </c>
      <c r="T80" t="s">
        <v>1393</v>
      </c>
    </row>
    <row r="81" spans="1:20" x14ac:dyDescent="0.25">
      <c r="A81" s="33" t="s">
        <v>457</v>
      </c>
      <c r="B81" s="48">
        <f t="shared" si="21"/>
        <v>0.5</v>
      </c>
      <c r="C81" s="48">
        <f t="shared" si="20"/>
        <v>0.53125</v>
      </c>
      <c r="D81" s="34">
        <v>3.125E-2</v>
      </c>
      <c r="E81" s="35"/>
      <c r="F81" s="35"/>
      <c r="G81" s="35"/>
      <c r="H81" s="35"/>
      <c r="I81" s="35"/>
      <c r="J81" s="35"/>
      <c r="K81" s="35"/>
      <c r="M81"/>
      <c r="R81" s="48">
        <v>0.5</v>
      </c>
      <c r="S81" s="48">
        <v>0.5625</v>
      </c>
      <c r="T81" s="33" t="s">
        <v>457</v>
      </c>
    </row>
    <row r="82" spans="1:20" x14ac:dyDescent="0.25">
      <c r="A82" t="s">
        <v>1117</v>
      </c>
      <c r="B82" s="46">
        <f t="shared" si="21"/>
        <v>0.53125</v>
      </c>
      <c r="C82" s="46">
        <f t="shared" si="20"/>
        <v>0.57291666666666663</v>
      </c>
      <c r="D82" s="30">
        <v>4.1666666666666664E-2</v>
      </c>
      <c r="F82" s="28">
        <v>0.1</v>
      </c>
      <c r="G82" s="28">
        <v>0.1</v>
      </c>
      <c r="H82" s="28">
        <v>0.1</v>
      </c>
      <c r="I82" s="28">
        <v>0.1</v>
      </c>
      <c r="J82" s="1">
        <v>0.1</v>
      </c>
      <c r="K82" s="1">
        <v>0.1</v>
      </c>
      <c r="M82"/>
      <c r="R82" s="46">
        <v>0.5625</v>
      </c>
      <c r="S82" s="46">
        <v>0.64583333333333337</v>
      </c>
      <c r="T82" t="s">
        <v>1394</v>
      </c>
    </row>
    <row r="83" spans="1:20" x14ac:dyDescent="0.25">
      <c r="A83" t="s">
        <v>461</v>
      </c>
      <c r="B83" s="46">
        <f t="shared" si="21"/>
        <v>0.57291666666666663</v>
      </c>
      <c r="C83" s="46">
        <f t="shared" si="20"/>
        <v>0.63541666666666663</v>
      </c>
      <c r="D83" s="30">
        <v>6.25E-2</v>
      </c>
      <c r="E83" s="28">
        <v>143</v>
      </c>
      <c r="F83" s="28">
        <v>0.15</v>
      </c>
      <c r="G83" s="28">
        <v>0.15</v>
      </c>
      <c r="H83" s="28">
        <v>0.15</v>
      </c>
      <c r="I83" s="28">
        <v>0.15</v>
      </c>
      <c r="J83" s="1">
        <v>0</v>
      </c>
      <c r="K83" s="1">
        <v>0</v>
      </c>
      <c r="M83"/>
      <c r="R83" s="56">
        <v>0.64583333333333337</v>
      </c>
      <c r="S83" s="56">
        <v>0.6875</v>
      </c>
      <c r="T83" s="55" t="s">
        <v>1395</v>
      </c>
    </row>
    <row r="84" spans="1:20" x14ac:dyDescent="0.25">
      <c r="A84" s="55" t="s">
        <v>462</v>
      </c>
      <c r="B84" s="56">
        <f t="shared" si="21"/>
        <v>0.63541666666666663</v>
      </c>
      <c r="C84" s="56">
        <f t="shared" si="20"/>
        <v>0.67708333333333326</v>
      </c>
      <c r="D84" s="57">
        <v>4.1666666666666664E-2</v>
      </c>
      <c r="E84" s="58">
        <v>82</v>
      </c>
      <c r="F84" s="58">
        <v>0.1</v>
      </c>
      <c r="G84" s="58">
        <v>0</v>
      </c>
      <c r="H84" s="58">
        <v>0.1</v>
      </c>
      <c r="I84" s="58">
        <v>0.1</v>
      </c>
      <c r="J84" s="13">
        <v>0</v>
      </c>
      <c r="K84" s="13">
        <v>0</v>
      </c>
      <c r="M84" s="28">
        <f>SUM(E78:E84)</f>
        <v>505</v>
      </c>
      <c r="N84" s="28">
        <f>(M84/4)/2</f>
        <v>63.125</v>
      </c>
      <c r="O84" s="28" t="s">
        <v>1126</v>
      </c>
    </row>
    <row r="85" spans="1:20" x14ac:dyDescent="0.25">
      <c r="A85" t="s">
        <v>1293</v>
      </c>
      <c r="D85" s="30"/>
      <c r="F85" s="28">
        <f>SUM(F77:F84)</f>
        <v>0.75</v>
      </c>
      <c r="G85" s="28">
        <f t="shared" ref="G85" si="22">SUM(G77:G84)</f>
        <v>0.25</v>
      </c>
      <c r="H85" s="28">
        <f t="shared" ref="H85" si="23">SUM(H77:H84)</f>
        <v>0.75</v>
      </c>
      <c r="I85" s="28">
        <f t="shared" ref="I85" si="24">SUM(I77:I84)</f>
        <v>0.75</v>
      </c>
      <c r="J85" s="28">
        <f t="shared" ref="J85" si="25">SUM(J77:J84)</f>
        <v>0.1</v>
      </c>
      <c r="K85" s="28">
        <f t="shared" ref="K85" si="26">SUM(K77:K84)</f>
        <v>0.1</v>
      </c>
      <c r="M85" s="28"/>
      <c r="N85" s="28"/>
      <c r="O85" s="28"/>
    </row>
    <row r="86" spans="1:20" x14ac:dyDescent="0.25">
      <c r="D86" s="30"/>
      <c r="J86" s="1"/>
      <c r="K86" s="1"/>
      <c r="M86" s="28"/>
      <c r="N86" s="28"/>
      <c r="O86" s="28"/>
    </row>
    <row r="87" spans="1:20" x14ac:dyDescent="0.25">
      <c r="D87" s="30"/>
      <c r="J87" s="1"/>
      <c r="K87" s="1"/>
      <c r="M87" s="28"/>
      <c r="N87" s="28"/>
      <c r="O87" s="28"/>
    </row>
    <row r="88" spans="1:20" ht="15.75" thickBot="1" x14ac:dyDescent="0.3">
      <c r="A88" s="31" t="s">
        <v>1294</v>
      </c>
      <c r="B88" s="47" t="s">
        <v>452</v>
      </c>
      <c r="C88" s="47" t="s">
        <v>453</v>
      </c>
      <c r="D88" s="32" t="s">
        <v>291</v>
      </c>
      <c r="E88" s="32" t="s">
        <v>1118</v>
      </c>
      <c r="F88" s="32" t="s">
        <v>1284</v>
      </c>
      <c r="G88" s="32" t="s">
        <v>22</v>
      </c>
      <c r="H88" s="32" t="s">
        <v>23</v>
      </c>
      <c r="I88" s="32" t="s">
        <v>26</v>
      </c>
      <c r="J88" s="32" t="s">
        <v>25</v>
      </c>
      <c r="K88" s="32" t="s">
        <v>24</v>
      </c>
      <c r="M88" s="28"/>
      <c r="N88" s="28"/>
      <c r="O88" s="28"/>
    </row>
    <row r="89" spans="1:20" ht="15.75" thickTop="1" x14ac:dyDescent="0.25">
      <c r="A89" t="s">
        <v>1112</v>
      </c>
      <c r="B89" s="46">
        <v>0.33333333333333331</v>
      </c>
      <c r="C89" s="46">
        <f>B89+D89</f>
        <v>0.4375</v>
      </c>
      <c r="D89" s="30">
        <v>0.10416666666666667</v>
      </c>
      <c r="E89" s="28">
        <v>127</v>
      </c>
      <c r="F89" s="28">
        <v>0.25</v>
      </c>
      <c r="G89" s="28">
        <v>0</v>
      </c>
      <c r="H89" s="28">
        <v>0.25</v>
      </c>
      <c r="I89" s="28">
        <v>0.25</v>
      </c>
      <c r="J89" s="1">
        <v>0</v>
      </c>
      <c r="K89" s="1">
        <v>0</v>
      </c>
      <c r="M89"/>
    </row>
    <row r="90" spans="1:20" x14ac:dyDescent="0.25">
      <c r="A90" t="s">
        <v>1113</v>
      </c>
      <c r="B90" s="46">
        <f>C89</f>
        <v>0.4375</v>
      </c>
      <c r="C90" s="46">
        <f t="shared" ref="C90:C94" si="27">B90+D90</f>
        <v>0.47916666666666669</v>
      </c>
      <c r="D90" s="30">
        <v>4.1666666666666664E-2</v>
      </c>
      <c r="F90" s="28">
        <v>0.1</v>
      </c>
      <c r="G90" s="28">
        <v>0.1</v>
      </c>
      <c r="H90" s="28">
        <v>0.1</v>
      </c>
      <c r="I90" s="28">
        <v>0.1</v>
      </c>
      <c r="J90" s="1">
        <v>0</v>
      </c>
      <c r="K90" s="1">
        <v>0</v>
      </c>
      <c r="M90"/>
    </row>
    <row r="91" spans="1:20" x14ac:dyDescent="0.25">
      <c r="A91" s="33" t="s">
        <v>457</v>
      </c>
      <c r="B91" s="48">
        <f t="shared" ref="B91:B94" si="28">C90</f>
        <v>0.47916666666666669</v>
      </c>
      <c r="C91" s="48">
        <f t="shared" si="27"/>
        <v>0.51041666666666674</v>
      </c>
      <c r="D91" s="34">
        <v>3.125E-2</v>
      </c>
      <c r="E91" s="35"/>
      <c r="F91" s="35"/>
      <c r="G91" s="35"/>
      <c r="H91" s="35"/>
      <c r="I91" s="35"/>
      <c r="J91" s="35"/>
      <c r="K91" s="35"/>
      <c r="M91"/>
    </row>
    <row r="92" spans="1:20" x14ac:dyDescent="0.25">
      <c r="A92" t="s">
        <v>1116</v>
      </c>
      <c r="B92" s="46">
        <f t="shared" si="28"/>
        <v>0.51041666666666674</v>
      </c>
      <c r="C92" s="46">
        <f t="shared" si="27"/>
        <v>0.55208333333333337</v>
      </c>
      <c r="D92" s="30">
        <v>4.1666666666666664E-2</v>
      </c>
      <c r="F92" s="28">
        <v>0.1</v>
      </c>
      <c r="G92" s="28">
        <v>0.1</v>
      </c>
      <c r="H92" s="28">
        <v>0.1</v>
      </c>
      <c r="I92" s="28">
        <v>0.1</v>
      </c>
      <c r="J92" s="1">
        <v>0.1</v>
      </c>
      <c r="K92" s="1">
        <v>0.1</v>
      </c>
      <c r="M92"/>
    </row>
    <row r="93" spans="1:20" x14ac:dyDescent="0.25">
      <c r="A93" t="s">
        <v>1115</v>
      </c>
      <c r="B93" s="46">
        <f t="shared" si="28"/>
        <v>0.55208333333333337</v>
      </c>
      <c r="C93" s="46">
        <f t="shared" si="27"/>
        <v>0.59375</v>
      </c>
      <c r="D93" s="30">
        <v>4.1666666666666664E-2</v>
      </c>
      <c r="F93" s="28">
        <v>0.1</v>
      </c>
      <c r="G93" s="28">
        <v>0.1</v>
      </c>
      <c r="H93" s="28">
        <v>0.1</v>
      </c>
      <c r="I93" s="28">
        <v>0.1</v>
      </c>
      <c r="J93" s="1">
        <v>0.1</v>
      </c>
      <c r="K93" s="1">
        <v>0.1</v>
      </c>
      <c r="M93"/>
    </row>
    <row r="94" spans="1:20" x14ac:dyDescent="0.25">
      <c r="A94" t="s">
        <v>1114</v>
      </c>
      <c r="B94" s="46">
        <f t="shared" si="28"/>
        <v>0.59375</v>
      </c>
      <c r="C94" s="46">
        <f t="shared" si="27"/>
        <v>0.65625</v>
      </c>
      <c r="D94" s="30">
        <v>6.25E-2</v>
      </c>
      <c r="F94" s="28">
        <v>0.15</v>
      </c>
      <c r="G94" s="28">
        <v>0.15</v>
      </c>
      <c r="H94" s="28">
        <v>0.15</v>
      </c>
      <c r="I94" s="28">
        <v>0.15</v>
      </c>
      <c r="J94" s="1">
        <v>0.15</v>
      </c>
      <c r="K94" s="1">
        <v>0.15</v>
      </c>
      <c r="M94"/>
    </row>
    <row r="95" spans="1:20" x14ac:dyDescent="0.25">
      <c r="A95" s="55" t="s">
        <v>19</v>
      </c>
      <c r="B95" s="56">
        <f t="shared" ref="B95" si="29">C94</f>
        <v>0.65625</v>
      </c>
      <c r="C95" s="56">
        <f t="shared" ref="C95" si="30">B95+D95</f>
        <v>0.67708333333333337</v>
      </c>
      <c r="D95" s="57">
        <v>2.0833333333333332E-2</v>
      </c>
      <c r="E95" s="58"/>
      <c r="F95" s="58">
        <v>0.05</v>
      </c>
      <c r="G95" s="13">
        <v>0.05</v>
      </c>
      <c r="H95" s="13">
        <v>0.05</v>
      </c>
      <c r="I95" s="13">
        <v>0.05</v>
      </c>
      <c r="J95" s="13">
        <v>0</v>
      </c>
      <c r="K95" s="13">
        <v>0.05</v>
      </c>
      <c r="M95" s="28">
        <f>SUM(E89:E94)</f>
        <v>127</v>
      </c>
      <c r="N95" s="28">
        <f>(M95/4+20)/2</f>
        <v>25.875</v>
      </c>
      <c r="O95" s="28" t="s">
        <v>1125</v>
      </c>
    </row>
    <row r="96" spans="1:20" x14ac:dyDescent="0.25">
      <c r="A96" t="s">
        <v>1295</v>
      </c>
      <c r="D96" s="30"/>
      <c r="F96" s="28">
        <f>SUM(F88:F95)</f>
        <v>0.75</v>
      </c>
      <c r="G96" s="28">
        <f t="shared" ref="G96" si="31">SUM(G88:G95)</f>
        <v>0.50000000000000011</v>
      </c>
      <c r="H96" s="28">
        <f t="shared" ref="H96" si="32">SUM(H88:H95)</f>
        <v>0.75</v>
      </c>
      <c r="I96" s="28">
        <f t="shared" ref="I96" si="33">SUM(I88:I95)</f>
        <v>0.75</v>
      </c>
      <c r="J96" s="28">
        <f t="shared" ref="J96" si="34">SUM(J88:J95)</f>
        <v>0.35</v>
      </c>
      <c r="K96" s="28">
        <f t="shared" ref="K96" si="35">SUM(K88:K95)</f>
        <v>0.39999999999999997</v>
      </c>
    </row>
    <row r="98" spans="1:11" x14ac:dyDescent="0.25">
      <c r="A98" t="s">
        <v>287</v>
      </c>
      <c r="F98" s="28">
        <f>F64+F75+F85+F96</f>
        <v>3</v>
      </c>
      <c r="G98" s="28">
        <f t="shared" ref="G98:K98" si="36">G64+G75+G85+G96</f>
        <v>1.4500000000000002</v>
      </c>
      <c r="H98" s="28">
        <f t="shared" si="36"/>
        <v>3</v>
      </c>
      <c r="I98" s="28">
        <f t="shared" si="36"/>
        <v>3</v>
      </c>
      <c r="J98" s="28">
        <f t="shared" si="36"/>
        <v>0.95</v>
      </c>
      <c r="K98" s="28">
        <f t="shared" si="36"/>
        <v>0.95</v>
      </c>
    </row>
  </sheetData>
  <pageMargins left="0.35" right="0.25" top="0.75" bottom="0.75" header="0.3" footer="0.3"/>
  <pageSetup orientation="portrait" horizontalDpi="300" verticalDpi="300" r:id="rId1"/>
  <headerFooter>
    <oddHeader>&amp;R2021 Wastewater Exam Cram</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DECDBE9922D645BF999A72FA0D29D3" ma:contentTypeVersion="16" ma:contentTypeDescription="Create a new document." ma:contentTypeScope="" ma:versionID="7a4e9882d9bd9f797bb62f6f10ec81e1">
  <xsd:schema xmlns:xsd="http://www.w3.org/2001/XMLSchema" xmlns:xs="http://www.w3.org/2001/XMLSchema" xmlns:p="http://schemas.microsoft.com/office/2006/metadata/properties" xmlns:ns3="ea5565b1-de48-42e6-abb0-385322032a4e" xmlns:ns4="f0da3c1e-56a7-4a5a-926a-adab090e653b" targetNamespace="http://schemas.microsoft.com/office/2006/metadata/properties" ma:root="true" ma:fieldsID="45f3170732cdc79fce347a5278bb28fa" ns3:_="" ns4:_="">
    <xsd:import namespace="ea5565b1-de48-42e6-abb0-385322032a4e"/>
    <xsd:import namespace="f0da3c1e-56a7-4a5a-926a-adab090e653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ServiceOCR" minOccurs="0"/>
                <xsd:element ref="ns3:MediaLengthInSeconds" minOccurs="0"/>
                <xsd:element ref="ns4:SharedWithUsers" minOccurs="0"/>
                <xsd:element ref="ns4:SharedWithDetails" minOccurs="0"/>
                <xsd:element ref="ns4:SharingHintHash"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5565b1-de48-42e6-abb0-385322032a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0da3c1e-56a7-4a5a-926a-adab090e653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SharingHintHash" ma:index="21"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ea5565b1-de48-42e6-abb0-385322032a4e" xsi:nil="true"/>
  </documentManagement>
</p:properties>
</file>

<file path=customXml/itemProps1.xml><?xml version="1.0" encoding="utf-8"?>
<ds:datastoreItem xmlns:ds="http://schemas.openxmlformats.org/officeDocument/2006/customXml" ds:itemID="{FB792E30-144F-4371-85BF-5B0BA30F4F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5565b1-de48-42e6-abb0-385322032a4e"/>
    <ds:schemaRef ds:uri="f0da3c1e-56a7-4a5a-926a-adab090e65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2A3B028-C7CF-4278-A99D-8BD2CEDFAA57}">
  <ds:schemaRefs>
    <ds:schemaRef ds:uri="http://schemas.microsoft.com/sharepoint/v3/contenttype/forms"/>
  </ds:schemaRefs>
</ds:datastoreItem>
</file>

<file path=customXml/itemProps3.xml><?xml version="1.0" encoding="utf-8"?>
<ds:datastoreItem xmlns:ds="http://schemas.openxmlformats.org/officeDocument/2006/customXml" ds:itemID="{AA42FDE5-F381-416A-B179-014A54A2A8F2}">
  <ds:schemaRefs>
    <ds:schemaRef ds:uri="http://purl.org/dc/dcmitype/"/>
    <ds:schemaRef ds:uri="http://www.w3.org/XML/1998/namespace"/>
    <ds:schemaRef ds:uri="ea5565b1-de48-42e6-abb0-385322032a4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f0da3c1e-56a7-4a5a-926a-adab090e653b"/>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2025NewCourses</vt:lpstr>
      <vt:lpstr>Learning Paths</vt:lpstr>
      <vt:lpstr>Wastewater Short School</vt:lpstr>
      <vt:lpstr>Water Short School</vt:lpstr>
      <vt:lpstr>Exam Cram</vt:lpstr>
      <vt:lpstr>'2025NewCourses'!Print_Area</vt:lpstr>
      <vt:lpstr>'Exam Cram'!Print_Area</vt:lpstr>
      <vt:lpstr>'Learning Paths'!Print_Area</vt:lpstr>
      <vt:lpstr>'Wastewater Short School'!Print_Area</vt:lpstr>
      <vt:lpstr>'Water Short School'!Print_Area</vt:lpstr>
      <vt:lpstr>'2025NewCourses'!Print_Titles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Sidney</dc:creator>
  <cp:lastModifiedBy>Sidney Innerebner</cp:lastModifiedBy>
  <cp:lastPrinted>2025-05-01T03:07:49Z</cp:lastPrinted>
  <dcterms:created xsi:type="dcterms:W3CDTF">2013-10-16T14:14:07Z</dcterms:created>
  <dcterms:modified xsi:type="dcterms:W3CDTF">2025-05-01T03:16:34Z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0x01010011DECDBE9922D645BF999A72FA0D29D3</vt:lpwstr>
  </property>
</Properties>
</file>